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'AIRFLOW'!$A$98:$A$159</definedName>
    <definedName name="\p">#REF!</definedName>
    <definedName name="__123Graph_A" hidden="1">'AIRFLOW'!$BM$40:$BM$114</definedName>
    <definedName name="__123Graph_APOLYNOM" localSheetId="0" hidden="1">'AIRFLOW'!$BE$116:$CC$116</definedName>
    <definedName name="__123Graph_APQCURVE" localSheetId="0" hidden="1">'AIRFLOW'!$BM$40:$BM$114</definedName>
    <definedName name="__123Graph_B" hidden="1">'AIRFLOW'!$BN$40:$BN$114</definedName>
    <definedName name="__123Graph_BPOLYNOM" localSheetId="0" hidden="1">'AIRFLOW'!$BE$115:$CC$115</definedName>
    <definedName name="__123Graph_BPQCURVE" localSheetId="0" hidden="1">'AIRFLOW'!$BN$40:$BN$114</definedName>
    <definedName name="__123Graph_X" hidden="1">'AIRFLOW'!$BL$40:$BL$114</definedName>
    <definedName name="__123Graph_XPOLYNOM" localSheetId="0" hidden="1">'AIRFLOW'!$BE$114:$CC$114</definedName>
    <definedName name="__123Graph_XPQCURVE" localSheetId="0" hidden="1">'AIRFLOW'!$BL$40:$BL$114</definedName>
    <definedName name="_Regression_Int" localSheetId="0" hidden="1">1</definedName>
    <definedName name="CNTR1" localSheetId="0">'AIRFLOW'!$H$112</definedName>
    <definedName name="CNTR1">#REF!</definedName>
    <definedName name="CNTR2" localSheetId="0">'AIRFLOW'!$I$112</definedName>
    <definedName name="CNTR2">#REF!</definedName>
    <definedName name="CNTR3" localSheetId="0">'AIRFLOW'!$J$112</definedName>
    <definedName name="CNTR3">#REF!</definedName>
    <definedName name="COUNTER" localSheetId="0">'AIRFLOW'!$H$110</definedName>
    <definedName name="COUNTER">#REF!</definedName>
    <definedName name="look" localSheetId="0">'AIRFLOW'!$BA$46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'AIRFLOW'!$H$108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<sst xmlns="http://schemas.openxmlformats.org/spreadsheetml/2006/main" count="170" uniqueCount="117">
  <si>
    <t>BAROMETRIC</t>
  </si>
  <si>
    <t>WET</t>
  </si>
  <si>
    <t xml:space="preserve"> DRY</t>
  </si>
  <si>
    <t>PRESSURE("Hg)</t>
  </si>
  <si>
    <t>BULB(°F)</t>
  </si>
  <si>
    <t>DR</t>
  </si>
  <si>
    <t>CS</t>
  </si>
  <si>
    <t>CP</t>
  </si>
  <si>
    <t>Pt</t>
  </si>
  <si>
    <t>Cg</t>
  </si>
  <si>
    <t>Ps</t>
  </si>
  <si>
    <t>CORR.</t>
  </si>
  <si>
    <t>AIR</t>
  </si>
  <si>
    <t>ORIFICE</t>
  </si>
  <si>
    <t>SUCTION</t>
  </si>
  <si>
    <t>INPUT</t>
  </si>
  <si>
    <t>FLOW</t>
  </si>
  <si>
    <t>K</t>
  </si>
  <si>
    <t>(Inches)</t>
  </si>
  <si>
    <t>AMPS</t>
  </si>
  <si>
    <t>WATTS</t>
  </si>
  <si>
    <t>RPM'S</t>
  </si>
  <si>
    <t>(CFM)</t>
  </si>
  <si>
    <t>H.P.</t>
  </si>
  <si>
    <t>COEFF.</t>
  </si>
  <si>
    <t>R</t>
  </si>
  <si>
    <t>Orifice</t>
  </si>
  <si>
    <t>Peak</t>
  </si>
  <si>
    <t>CFM</t>
  </si>
  <si>
    <t>Air Watts</t>
  </si>
  <si>
    <t>x—u2</t>
  </si>
  <si>
    <t>x—u3</t>
  </si>
  <si>
    <t>x—u4</t>
  </si>
  <si>
    <t>x—u5</t>
  </si>
  <si>
    <t>x—u6</t>
  </si>
  <si>
    <t>x*y</t>
  </si>
  <si>
    <t>x—u2˜*y</t>
  </si>
  <si>
    <t>x—u3˜*y</t>
  </si>
  <si>
    <t>k—d0</t>
  </si>
  <si>
    <t>k—d1</t>
  </si>
  <si>
    <t>k—d2</t>
  </si>
  <si>
    <t>k—d3</t>
  </si>
  <si>
    <t>k—d4</t>
  </si>
  <si>
    <t>k—d5</t>
  </si>
  <si>
    <t>k—d6</t>
  </si>
  <si>
    <t>k—d7</t>
  </si>
  <si>
    <t>k—d8</t>
  </si>
  <si>
    <t>k—d9</t>
  </si>
  <si>
    <t>k—d10</t>
  </si>
  <si>
    <t>c—d0</t>
  </si>
  <si>
    <t>d—d0</t>
  </si>
  <si>
    <t>c—d1</t>
  </si>
  <si>
    <t>d—d1</t>
  </si>
  <si>
    <t>c—d2</t>
  </si>
  <si>
    <t>d—d2</t>
  </si>
  <si>
    <t>c—d3</t>
  </si>
  <si>
    <t>d—d3</t>
  </si>
  <si>
    <t>c—d4</t>
  </si>
  <si>
    <t>d—d4</t>
  </si>
  <si>
    <t>c—d5</t>
  </si>
  <si>
    <t>d—d5</t>
  </si>
  <si>
    <t>c—d6</t>
  </si>
  <si>
    <t>c—d7</t>
  </si>
  <si>
    <t>c—d8</t>
  </si>
  <si>
    <t>c—d9</t>
  </si>
  <si>
    <t>c—d10</t>
  </si>
  <si>
    <t>c—d11</t>
  </si>
  <si>
    <t>a—d3</t>
  </si>
  <si>
    <t>a—d2</t>
  </si>
  <si>
    <t>a—d1</t>
  </si>
  <si>
    <t>a—d0</t>
  </si>
  <si>
    <t>Xmax</t>
  </si>
  <si>
    <t>Ymax</t>
  </si>
  <si>
    <t>Ycal</t>
  </si>
  <si>
    <t>Yobs-Ycal^2</t>
  </si>
  <si>
    <t>Yobs-Yavg^2</t>
  </si>
  <si>
    <t>R—u2</t>
  </si>
  <si>
    <t>Max. Error</t>
  </si>
  <si>
    <t>JPC/EXCEL/AIRFLOW.XLS</t>
  </si>
  <si>
    <r>
      <t>P</t>
    </r>
    <r>
      <rPr>
        <b/>
        <vertAlign val="subscript"/>
        <sz val="12"/>
        <rFont val="Helv"/>
        <family val="0"/>
      </rPr>
      <t>-3</t>
    </r>
  </si>
  <si>
    <r>
      <t>P</t>
    </r>
    <r>
      <rPr>
        <b/>
        <vertAlign val="subscript"/>
        <sz val="12"/>
        <rFont val="Helv"/>
        <family val="0"/>
      </rPr>
      <t>-2</t>
    </r>
  </si>
  <si>
    <r>
      <t>P</t>
    </r>
    <r>
      <rPr>
        <b/>
        <vertAlign val="subscript"/>
        <sz val="12"/>
        <rFont val="Helv"/>
        <family val="0"/>
      </rPr>
      <t>-1</t>
    </r>
  </si>
  <si>
    <r>
      <t>P</t>
    </r>
    <r>
      <rPr>
        <b/>
        <vertAlign val="subscript"/>
        <sz val="12"/>
        <rFont val="Helv"/>
        <family val="0"/>
      </rPr>
      <t>+1</t>
    </r>
  </si>
  <si>
    <r>
      <t>P</t>
    </r>
    <r>
      <rPr>
        <b/>
        <vertAlign val="subscript"/>
        <sz val="12"/>
        <rFont val="Helv"/>
        <family val="0"/>
      </rPr>
      <t>+2</t>
    </r>
  </si>
  <si>
    <r>
      <t>P</t>
    </r>
    <r>
      <rPr>
        <b/>
        <vertAlign val="subscript"/>
        <sz val="12"/>
        <rFont val="Helv"/>
        <family val="0"/>
      </rPr>
      <t>+3</t>
    </r>
  </si>
  <si>
    <t>OVERALL</t>
  </si>
  <si>
    <t>EFF.(%)</t>
  </si>
  <si>
    <t xml:space="preserve">  Maximum Error (AW)  </t>
  </si>
  <si>
    <t xml:space="preserve">       Peak Airwatts       </t>
  </si>
  <si>
    <t>CORRECTED BAROMETRIC PRESSURE ("Hg)=</t>
  </si>
  <si>
    <t>BAROMETRIC TEMPERATURE (°F) =</t>
  </si>
  <si>
    <t>Torque (in-lb)</t>
  </si>
  <si>
    <t>k</t>
  </si>
  <si>
    <r>
      <t xml:space="preserve">  R</t>
    </r>
    <r>
      <rPr>
        <b/>
        <u val="single"/>
        <vertAlign val="superscript"/>
        <sz val="12"/>
        <rFont val="Helv"/>
        <family val="0"/>
      </rPr>
      <t>2</t>
    </r>
    <r>
      <rPr>
        <b/>
        <u val="single"/>
        <sz val="12"/>
        <rFont val="Helv"/>
        <family val="0"/>
      </rPr>
      <t xml:space="preserve"> ("goodness of fit")  </t>
    </r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</si>
  <si>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</si>
  <si>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</si>
  <si>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</si>
  <si>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</si>
  <si>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</si>
  <si>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</si>
  <si>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</si>
  <si>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</si>
  <si>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</si>
  <si>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</si>
  <si>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</si>
  <si>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 xml:space="preserve">min sealed vac correction factor = </t>
  </si>
  <si>
    <t>max open watts corr factor =</t>
  </si>
  <si>
    <t xml:space="preserve">Min sealed vac= </t>
  </si>
  <si>
    <r>
      <t>in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</si>
  <si>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r>
      <t>mm H</t>
    </r>
    <r>
      <rPr>
        <vertAlign val="subscript"/>
        <sz val="12"/>
        <rFont val="Helv"/>
        <family val="0"/>
      </rPr>
      <t>2</t>
    </r>
    <r>
      <rPr>
        <sz val="12"/>
        <rFont val="Helv"/>
        <family val="0"/>
      </rPr>
      <t>O</t>
    </r>
  </si>
  <si>
    <t>Max open watts =</t>
  </si>
  <si>
    <t>watts</t>
  </si>
  <si>
    <t>kPa</t>
  </si>
  <si>
    <t>LIGHTHOUSE</t>
  </si>
  <si>
    <t>VACUUM</t>
  </si>
  <si>
    <t>MOTORS</t>
  </si>
  <si>
    <t>LH6336-220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</si>
</sst>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6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sz val="8"/>
      <name val="Tms Rmn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u val="single"/>
      <sz val="12"/>
      <name val="Helv"/>
      <family val="0"/>
    </font>
    <font>
      <b/>
      <u val="single"/>
      <vertAlign val="superscript"/>
      <sz val="12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4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vertAlign val="subscript"/>
      <sz val="12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20"/>
      <name val="Helv"/>
      <family val="0"/>
    </font>
    <font>
      <b/>
      <sz val="24"/>
      <name val="Helv"/>
      <family val="0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 horizontal="center"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39" fontId="0" fillId="0" borderId="0" xfId="0" applyNumberFormat="1" applyAlignment="1" applyProtection="1">
      <alignment/>
      <protection/>
    </xf>
    <xf numFmtId="169" fontId="0" fillId="0" borderId="0" xfId="0" applyNumberFormat="1" applyAlignment="1" applyProtection="1">
      <alignment/>
      <protection/>
    </xf>
    <xf numFmtId="165" fontId="7" fillId="0" borderId="1" xfId="0" applyNumberFormat="1" applyFont="1" applyBorder="1" applyAlignment="1" applyProtection="1">
      <alignment horizontal="center"/>
      <protection locked="0"/>
    </xf>
    <xf numFmtId="164" fontId="7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164" fontId="7" fillId="0" borderId="0" xfId="0" applyNumberFormat="1" applyFont="1" applyAlignment="1" applyProtection="1">
      <alignment/>
      <protection locked="0"/>
    </xf>
    <xf numFmtId="0" fontId="3" fillId="0" borderId="1" xfId="0" applyFont="1" applyBorder="1" applyAlignment="1" applyProtection="1">
      <alignment horizontal="left"/>
      <protection/>
    </xf>
    <xf numFmtId="0" fontId="3" fillId="0" borderId="2" xfId="0" applyFont="1" applyBorder="1" applyAlignment="1" applyProtection="1">
      <alignment horizontal="centerContinuous"/>
      <protection/>
    </xf>
    <xf numFmtId="0" fontId="3" fillId="0" borderId="2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3" fillId="0" borderId="3" xfId="0" applyFont="1" applyBorder="1" applyAlignment="1" applyProtection="1">
      <alignment horizontal="centerContinuous"/>
      <protection/>
    </xf>
    <xf numFmtId="0" fontId="9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12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2" fillId="0" borderId="0" xfId="0" applyFont="1" applyAlignment="1" applyProtection="1">
      <alignment/>
      <protection locked="0"/>
    </xf>
    <xf numFmtId="0" fontId="3" fillId="0" borderId="4" xfId="0" applyFont="1" applyBorder="1" applyAlignment="1" applyProtection="1">
      <alignment/>
      <protection/>
    </xf>
    <xf numFmtId="164" fontId="7" fillId="0" borderId="5" xfId="0" applyNumberFormat="1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64" fontId="7" fillId="0" borderId="0" xfId="0" applyNumberFormat="1" applyFont="1" applyBorder="1" applyAlignment="1" applyProtection="1">
      <alignment/>
      <protection locked="0"/>
    </xf>
    <xf numFmtId="167" fontId="3" fillId="0" borderId="0" xfId="0" applyNumberFormat="1" applyFont="1" applyAlignment="1" applyProtection="1">
      <alignment horizontal="left"/>
      <protection/>
    </xf>
    <xf numFmtId="165" fontId="7" fillId="0" borderId="6" xfId="0" applyNumberFormat="1" applyFont="1" applyBorder="1" applyAlignment="1" applyProtection="1">
      <alignment horizontal="left"/>
      <protection locked="0"/>
    </xf>
    <xf numFmtId="0" fontId="13" fillId="0" borderId="0" xfId="0" applyFont="1" applyAlignment="1">
      <alignment horizontal="center"/>
    </xf>
    <xf numFmtId="164" fontId="11" fillId="0" borderId="0" xfId="0" applyNumberFormat="1" applyFont="1" applyAlignment="1" applyProtection="1">
      <alignment horizontal="center"/>
      <protection/>
    </xf>
    <xf numFmtId="167" fontId="15" fillId="0" borderId="0" xfId="0" applyNumberFormat="1" applyFont="1" applyBorder="1" applyAlignment="1" applyProtection="1" quotePrefix="1">
      <alignment horizontal="center"/>
      <protection/>
    </xf>
    <xf numFmtId="2" fontId="7" fillId="0" borderId="0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 locked="0"/>
    </xf>
    <xf numFmtId="167" fontId="15" fillId="0" borderId="0" xfId="0" applyNumberFormat="1" applyFont="1" applyBorder="1" applyAlignment="1" applyProtection="1" quotePrefix="1">
      <alignment horizontal="center"/>
      <protection locked="0"/>
    </xf>
    <xf numFmtId="167" fontId="7" fillId="0" borderId="0" xfId="0" applyNumberFormat="1" applyFont="1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2" fontId="3" fillId="0" borderId="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7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3" fillId="0" borderId="9" xfId="0" applyFont="1" applyBorder="1" applyAlignment="1" applyProtection="1">
      <alignment horizontal="center"/>
      <protection/>
    </xf>
    <xf numFmtId="0" fontId="3" fillId="0" borderId="8" xfId="0" applyFont="1" applyBorder="1" applyAlignment="1" applyProtection="1" quotePrefix="1">
      <alignment horizontal="centerContinuous"/>
      <protection/>
    </xf>
    <xf numFmtId="0" fontId="3" fillId="0" borderId="10" xfId="0" applyFont="1" applyBorder="1" applyAlignment="1" applyProtection="1">
      <alignment horizontal="center"/>
      <protection/>
    </xf>
    <xf numFmtId="2" fontId="25" fillId="0" borderId="5" xfId="0" applyNumberFormat="1" applyFont="1" applyBorder="1" applyAlignment="1" applyProtection="1">
      <alignment horizontal="center"/>
      <protection locked="0"/>
    </xf>
    <xf numFmtId="0" fontId="3" fillId="0" borderId="11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>
      <alignment horizontal="center"/>
      <protection/>
    </xf>
    <xf numFmtId="0" fontId="11" fillId="0" borderId="12" xfId="0" applyFont="1" applyBorder="1" applyAlignment="1" applyProtection="1" quotePrefix="1">
      <alignment horizontal="center"/>
      <protection/>
    </xf>
    <xf numFmtId="0" fontId="3" fillId="0" borderId="9" xfId="0" applyFont="1" applyBorder="1" applyAlignment="1" applyProtection="1" quotePrefix="1">
      <alignment horizontal="center"/>
      <protection/>
    </xf>
    <xf numFmtId="0" fontId="3" fillId="0" borderId="8" xfId="0" applyFont="1" applyBorder="1" applyAlignment="1" applyProtection="1" quotePrefix="1">
      <alignment horizontal="center"/>
      <protection/>
    </xf>
    <xf numFmtId="171" fontId="25" fillId="0" borderId="5" xfId="0" applyNumberFormat="1" applyFont="1" applyBorder="1" applyAlignment="1" applyProtection="1">
      <alignment horizontal="center"/>
      <protection locked="0"/>
    </xf>
    <xf numFmtId="0" fontId="17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 horizontal="center"/>
      <protection locked="0"/>
    </xf>
    <xf numFmtId="2" fontId="25" fillId="0" borderId="5" xfId="0" applyNumberFormat="1" applyFont="1" applyBorder="1" applyAlignment="1" applyProtection="1">
      <alignment/>
      <protection locked="0"/>
    </xf>
    <xf numFmtId="2" fontId="25" fillId="0" borderId="14" xfId="0" applyNumberFormat="1" applyFont="1" applyBorder="1" applyAlignment="1" applyProtection="1">
      <alignment/>
      <protection locked="0"/>
    </xf>
    <xf numFmtId="171" fontId="0" fillId="0" borderId="5" xfId="0" applyNumberFormat="1" applyFont="1" applyBorder="1" applyAlignment="1" applyProtection="1">
      <alignment/>
      <protection/>
    </xf>
    <xf numFmtId="1" fontId="0" fillId="0" borderId="5" xfId="0" applyNumberFormat="1" applyFont="1" applyBorder="1" applyAlignment="1" applyProtection="1">
      <alignment horizontal="center"/>
      <protection/>
    </xf>
    <xf numFmtId="171" fontId="0" fillId="0" borderId="5" xfId="0" applyNumberFormat="1" applyFont="1" applyBorder="1" applyAlignment="1" applyProtection="1">
      <alignment horizontal="center"/>
      <protection/>
    </xf>
    <xf numFmtId="173" fontId="0" fillId="0" borderId="5" xfId="0" applyNumberFormat="1" applyFont="1" applyBorder="1" applyAlignment="1" applyProtection="1">
      <alignment horizontal="center"/>
      <protection/>
    </xf>
    <xf numFmtId="2" fontId="0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/>
      <protection/>
    </xf>
    <xf numFmtId="1" fontId="29" fillId="0" borderId="5" xfId="0" applyNumberFormat="1" applyFont="1" applyBorder="1" applyAlignment="1" applyProtection="1">
      <alignment horizontal="center"/>
      <protection/>
    </xf>
    <xf numFmtId="2" fontId="29" fillId="0" borderId="5" xfId="0" applyNumberFormat="1" applyFont="1" applyBorder="1" applyAlignment="1" applyProtection="1">
      <alignment horizontal="center"/>
      <protection/>
    </xf>
    <xf numFmtId="171" fontId="29" fillId="0" borderId="5" xfId="0" applyNumberFormat="1" applyFont="1" applyBorder="1" applyAlignment="1" applyProtection="1">
      <alignment horizontal="center"/>
      <protection/>
    </xf>
    <xf numFmtId="173" fontId="29" fillId="0" borderId="5" xfId="0" applyNumberFormat="1" applyFont="1" applyBorder="1" applyAlignment="1" applyProtection="1">
      <alignment horizontal="center"/>
      <protection/>
    </xf>
    <xf numFmtId="0" fontId="0" fillId="0" borderId="5" xfId="0" applyFont="1" applyBorder="1" applyAlignment="1" applyProtection="1">
      <alignment vertical="center"/>
      <protection/>
    </xf>
    <xf numFmtId="171" fontId="0" fillId="0" borderId="5" xfId="0" applyNumberFormat="1" applyFont="1" applyBorder="1" applyAlignment="1" applyProtection="1">
      <alignment horizontal="center" vertical="center"/>
      <protection/>
    </xf>
    <xf numFmtId="1" fontId="0" fillId="0" borderId="5" xfId="0" applyNumberFormat="1" applyFont="1" applyBorder="1" applyAlignment="1" applyProtection="1">
      <alignment horizontal="center" vertical="center"/>
      <protection/>
    </xf>
    <xf numFmtId="2" fontId="0" fillId="0" borderId="5" xfId="0" applyNumberFormat="1" applyFont="1" applyBorder="1" applyAlignment="1" applyProtection="1">
      <alignment horizontal="center" vertical="center"/>
      <protection/>
    </xf>
    <xf numFmtId="173" fontId="0" fillId="0" borderId="5" xfId="0" applyNumberFormat="1" applyFont="1" applyBorder="1" applyAlignment="1" applyProtection="1">
      <alignment horizontal="center" vertical="center"/>
      <protection/>
    </xf>
    <xf numFmtId="2" fontId="0" fillId="0" borderId="14" xfId="0" applyNumberFormat="1" applyFont="1" applyBorder="1" applyAlignment="1" applyProtection="1">
      <alignment horizontal="center" vertical="center"/>
      <protection/>
    </xf>
    <xf numFmtId="173" fontId="0" fillId="0" borderId="14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/>
      <protection/>
    </xf>
    <xf numFmtId="0" fontId="0" fillId="0" borderId="8" xfId="0" applyFont="1" applyBorder="1" applyAlignment="1" applyProtection="1">
      <alignment horizontal="left"/>
      <protection/>
    </xf>
    <xf numFmtId="0" fontId="30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center"/>
      <protection/>
    </xf>
    <xf numFmtId="0" fontId="21" fillId="0" borderId="0" xfId="0" applyFont="1" applyAlignment="1" applyProtection="1" quotePrefix="1">
      <alignment/>
      <protection/>
    </xf>
    <xf numFmtId="0" fontId="17" fillId="0" borderId="0" xfId="0" applyFont="1" applyBorder="1" applyAlignment="1" applyProtection="1" quotePrefix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 quotePrefix="1">
      <alignment/>
      <protection/>
    </xf>
    <xf numFmtId="0" fontId="22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6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7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7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2" fontId="28" fillId="0" borderId="5" xfId="0" applyNumberFormat="1" applyFont="1" applyBorder="1" applyAlignment="1" applyProtection="1">
      <alignment horizontal="center" vertical="center"/>
      <protection/>
    </xf>
    <xf numFmtId="168" fontId="28" fillId="0" borderId="5" xfId="0" applyNumberFormat="1" applyFont="1" applyBorder="1" applyAlignment="1" applyProtection="1">
      <alignment horizontal="center" vertical="center"/>
      <protection/>
    </xf>
    <xf numFmtId="171" fontId="28" fillId="0" borderId="5" xfId="0" applyNumberFormat="1" applyFont="1" applyBorder="1" applyAlignment="1" applyProtection="1">
      <alignment horizontal="center" vertical="center"/>
      <protection/>
    </xf>
    <xf numFmtId="3" fontId="3" fillId="0" borderId="5" xfId="0" applyNumberFormat="1" applyFont="1" applyBorder="1" applyAlignment="1" applyProtection="1" quotePrefix="1">
      <alignment horizontal="center" vertical="center"/>
      <protection/>
    </xf>
    <xf numFmtId="0" fontId="17" fillId="0" borderId="21" xfId="0" applyFont="1" applyBorder="1" applyAlignment="1" applyProtection="1">
      <alignment/>
      <protection/>
    </xf>
    <xf numFmtId="0" fontId="22" fillId="0" borderId="22" xfId="0" applyFont="1" applyBorder="1" applyAlignment="1" applyProtection="1">
      <alignment horizontal="right"/>
      <protection/>
    </xf>
    <xf numFmtId="0" fontId="17" fillId="0" borderId="22" xfId="0" applyFont="1" applyBorder="1" applyAlignment="1" applyProtection="1" quotePrefix="1">
      <alignment horizontal="left"/>
      <protection/>
    </xf>
    <xf numFmtId="0" fontId="17" fillId="0" borderId="22" xfId="0" applyFont="1" applyBorder="1" applyAlignment="1" applyProtection="1">
      <alignment/>
      <protection/>
    </xf>
    <xf numFmtId="164" fontId="27" fillId="0" borderId="22" xfId="0" applyNumberFormat="1" applyFont="1" applyBorder="1" applyAlignment="1" applyProtection="1">
      <alignment/>
      <protection/>
    </xf>
    <xf numFmtId="0" fontId="17" fillId="0" borderId="23" xfId="0" applyFont="1" applyBorder="1" applyAlignment="1" applyProtection="1">
      <alignment/>
      <protection/>
    </xf>
    <xf numFmtId="0" fontId="24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7" fillId="0" borderId="0" xfId="0" applyFont="1" applyBorder="1" applyAlignment="1" applyProtection="1">
      <alignment horizontal="right"/>
      <protection/>
    </xf>
    <xf numFmtId="0" fontId="6" fillId="0" borderId="0" xfId="0" applyFont="1" applyFill="1" applyBorder="1" applyAlignment="1" applyProtection="1">
      <alignment/>
      <protection/>
    </xf>
    <xf numFmtId="0" fontId="3" fillId="0" borderId="8" xfId="0" applyFont="1" applyBorder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1" fontId="28" fillId="0" borderId="5" xfId="0" applyNumberFormat="1" applyFont="1" applyBorder="1" applyAlignment="1" applyProtection="1">
      <alignment horizontal="center"/>
      <protection/>
    </xf>
    <xf numFmtId="168" fontId="28" fillId="0" borderId="5" xfId="0" applyNumberFormat="1" applyFont="1" applyBorder="1" applyAlignment="1" applyProtection="1">
      <alignment horizontal="center"/>
      <protection/>
    </xf>
    <xf numFmtId="171" fontId="28" fillId="0" borderId="5" xfId="0" applyNumberFormat="1" applyFont="1" applyBorder="1" applyAlignment="1" applyProtection="1">
      <alignment horizontal="center"/>
      <protection/>
    </xf>
    <xf numFmtId="3" fontId="0" fillId="0" borderId="5" xfId="0" applyNumberFormat="1" applyFont="1" applyBorder="1" applyAlignment="1" applyProtection="1" quotePrefix="1">
      <alignment horizontal="center"/>
      <protection/>
    </xf>
    <xf numFmtId="0" fontId="14" fillId="0" borderId="22" xfId="0" applyFont="1" applyBorder="1" applyAlignment="1" applyProtection="1">
      <alignment horizontal="right"/>
      <protection/>
    </xf>
    <xf numFmtId="173" fontId="28" fillId="0" borderId="5" xfId="0" applyNumberFormat="1" applyFont="1" applyBorder="1" applyAlignment="1" applyProtection="1">
      <alignment horizontal="center"/>
      <protection/>
    </xf>
    <xf numFmtId="3" fontId="28" fillId="0" borderId="5" xfId="0" applyNumberFormat="1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34" fillId="0" borderId="0" xfId="0" applyFont="1" applyAlignment="1" applyProtection="1">
      <alignment/>
      <protection/>
    </xf>
    <xf numFmtId="0" fontId="34" fillId="0" borderId="0" xfId="0" applyFont="1" applyBorder="1" applyAlignment="1" applyProtection="1">
      <alignment/>
      <protection/>
    </xf>
    <xf numFmtId="0" fontId="34" fillId="0" borderId="0" xfId="0" applyFont="1" applyBorder="1" applyAlignment="1" applyProtection="1" quotePrefix="1">
      <alignment horizontal="center"/>
      <protection/>
    </xf>
    <xf numFmtId="0" fontId="23" fillId="0" borderId="0" xfId="0" applyFont="1" applyAlignment="1" applyProtection="1">
      <alignment/>
      <protection/>
    </xf>
    <xf numFmtId="0" fontId="35" fillId="0" borderId="0" xfId="0" applyFont="1" applyBorder="1" applyAlignment="1" applyProtection="1">
      <alignment/>
      <protection/>
    </xf>
    <xf numFmtId="0" fontId="35" fillId="0" borderId="0" xfId="0" applyFont="1" applyBorder="1" applyAlignment="1" applyProtection="1">
      <alignment horizontal="left"/>
      <protection/>
    </xf>
    <xf numFmtId="170" fontId="14" fillId="0" borderId="0" xfId="0" applyNumberFormat="1" applyFont="1" applyBorder="1" applyAlignment="1" applyProtection="1">
      <alignment horizontal="center"/>
      <protection/>
    </xf>
    <xf numFmtId="167" fontId="14" fillId="0" borderId="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5" fillId="0" borderId="22" xfId="0" applyFon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0" fillId="0" borderId="29" xfId="0" applyBorder="1" applyAlignment="1" applyProtection="1">
      <alignment horizontal="left" wrapText="1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1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 quotePrefix="1">
      <alignment horizontal="center"/>
      <protection/>
    </xf>
    <xf numFmtId="0" fontId="23" fillId="0" borderId="0" xfId="0" applyFont="1" applyBorder="1" applyAlignment="1" applyProtection="1">
      <alignment horizontal="center"/>
      <protection/>
    </xf>
    <xf numFmtId="164" fontId="14" fillId="0" borderId="0" xfId="0" applyNumberFormat="1" applyFont="1" applyBorder="1" applyAlignment="1" applyProtection="1">
      <alignment horizontal="center"/>
      <protection/>
    </xf>
    <xf numFmtId="0" fontId="5" fillId="0" borderId="32" xfId="0" applyFont="1" applyBorder="1" applyAlignment="1" applyProtection="1">
      <alignment horizontal="center"/>
      <protection/>
    </xf>
    <xf numFmtId="0" fontId="5" fillId="0" borderId="33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76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31612505"/>
        <c:axId val="1607709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10476083"/>
        <c:axId val="27175884"/>
      </c:scatterChart>
      <c:valAx>
        <c:axId val="31612505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6077090"/>
        <c:crosses val="autoZero"/>
        <c:crossBetween val="midCat"/>
        <c:dispUnits/>
        <c:majorUnit val="10"/>
      </c:valAx>
      <c:valAx>
        <c:axId val="16077090"/>
        <c:scaling>
          <c:orientation val="minMax"/>
          <c:max val="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612505"/>
        <c:crosses val="autoZero"/>
        <c:crossBetween val="midCat"/>
        <c:dispUnits/>
      </c:valAx>
      <c:valAx>
        <c:axId val="10476083"/>
        <c:scaling>
          <c:orientation val="minMax"/>
        </c:scaling>
        <c:axPos val="b"/>
        <c:delete val="1"/>
        <c:majorTickMark val="in"/>
        <c:minorTickMark val="none"/>
        <c:tickLblPos val="nextTo"/>
        <c:crossAx val="27175884"/>
        <c:crosses val="max"/>
        <c:crossBetween val="midCat"/>
        <c:dispUnits/>
      </c:valAx>
      <c:valAx>
        <c:axId val="27175884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0476083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AIRFLOW!$BE$116:$CC$116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numRef>
              <c:f>AIRFLOW!$BE$114:$CC$114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xVal>
          <c:yVal>
            <c:numRef>
              <c:f>AIRFLOW!$BE$115:$CC$115</c:f>
              <c:numCache>
                <c:ptCount val="2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</c:numCache>
            </c:numRef>
          </c:yVal>
          <c:smooth val="0"/>
        </c:ser>
        <c:axId val="43256365"/>
        <c:axId val="53762966"/>
      </c:scatterChart>
      <c:valAx>
        <c:axId val="4325636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3762966"/>
        <c:crosses val="autoZero"/>
        <c:crossBetween val="midCat"/>
        <c:dispUnits/>
      </c:valAx>
      <c:valAx>
        <c:axId val="53762966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325636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175"/>
          <c:w val="0.9095"/>
          <c:h val="0.878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14104647"/>
        <c:axId val="59832960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1625729"/>
        <c:axId val="14631562"/>
      </c:scatterChart>
      <c:valAx>
        <c:axId val="14104647"/>
        <c:scaling>
          <c:orientation val="minMax"/>
          <c:max val="5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9832960"/>
        <c:crosses val="autoZero"/>
        <c:crossBetween val="midCat"/>
        <c:dispUnits/>
        <c:majorUnit val="5"/>
      </c:valAx>
      <c:valAx>
        <c:axId val="5983296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14104647"/>
        <c:crosses val="autoZero"/>
        <c:crossBetween val="midCat"/>
        <c:dispUnits/>
      </c:valAx>
      <c:valAx>
        <c:axId val="1625729"/>
        <c:scaling>
          <c:orientation val="minMax"/>
        </c:scaling>
        <c:axPos val="b"/>
        <c:delete val="1"/>
        <c:majorTickMark val="in"/>
        <c:minorTickMark val="none"/>
        <c:tickLblPos val="nextTo"/>
        <c:crossAx val="14631562"/>
        <c:crosses val="max"/>
        <c:crossBetween val="midCat"/>
        <c:dispUnits/>
      </c:valAx>
      <c:valAx>
        <c:axId val="14631562"/>
        <c:scaling>
          <c:orientation val="minMax"/>
          <c:max val="3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1625729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55</xdr:col>
      <xdr:colOff>85725</xdr:colOff>
      <xdr:row>125</xdr:row>
      <xdr:rowOff>66675</xdr:rowOff>
    </xdr:from>
    <xdr:to>
      <xdr:col>61</xdr:col>
      <xdr:colOff>695325</xdr:colOff>
      <xdr:row>144</xdr:row>
      <xdr:rowOff>161925</xdr:rowOff>
    </xdr:to>
    <xdr:graphicFrame>
      <xdr:nvGraphicFramePr>
        <xdr:cNvPr id="2" name="Chart 2"/>
        <xdr:cNvGraphicFramePr/>
      </xdr:nvGraphicFramePr>
      <xdr:xfrm>
        <a:off x="9734550" y="1568767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6248400"/>
        <a:ext cx="5162550" cy="20097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CC159"/>
  <sheetViews>
    <sheetView showGridLines="0" tabSelected="1" zoomScale="67" zoomScaleNormal="67" workbookViewId="0" topLeftCell="A1">
      <selection activeCell="L8" sqref="L8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9" width="9.77734375" style="0" hidden="1" customWidth="1"/>
    <col min="20" max="24" width="15.77734375" style="0" hidden="1" customWidth="1"/>
    <col min="25" max="28" width="11.77734375" style="0" hidden="1" customWidth="1"/>
    <col min="29" max="40" width="10.77734375" style="0" hidden="1" customWidth="1"/>
    <col min="41" max="87" width="9.77734375" style="0" hidden="1" customWidth="1"/>
    <col min="88" max="16384" width="0" style="0" hidden="1" customWidth="1"/>
  </cols>
  <sheetData>
    <row r="1" spans="1:14" ht="19.5">
      <c r="A1" s="92"/>
      <c r="B1" s="93"/>
      <c r="C1" s="93"/>
      <c r="D1" s="93"/>
      <c r="E1" s="18"/>
      <c r="F1" s="94"/>
      <c r="G1" s="18"/>
      <c r="H1" s="18"/>
      <c r="I1" s="18"/>
      <c r="J1" s="18"/>
      <c r="K1" s="18"/>
      <c r="L1" s="18"/>
      <c r="M1" s="18"/>
      <c r="N1" s="14"/>
    </row>
    <row r="2" spans="1:14" ht="24.75">
      <c r="A2" s="172"/>
      <c r="B2" s="172"/>
      <c r="C2" s="172"/>
      <c r="D2" s="95"/>
      <c r="E2" s="95"/>
      <c r="F2" s="95"/>
      <c r="G2" s="96"/>
      <c r="H2" s="173"/>
      <c r="I2" s="173"/>
      <c r="J2" s="173"/>
      <c r="K2" s="173"/>
      <c r="L2" s="173"/>
      <c r="M2" s="173"/>
      <c r="N2" s="14"/>
    </row>
    <row r="3" spans="1:14" ht="24.75">
      <c r="A3" s="172" t="s">
        <v>100</v>
      </c>
      <c r="B3" s="172"/>
      <c r="C3" s="172"/>
      <c r="D3" s="97"/>
      <c r="E3" s="97"/>
      <c r="F3" s="97"/>
      <c r="G3" s="98"/>
      <c r="H3" s="174"/>
      <c r="I3" s="174"/>
      <c r="J3" s="174"/>
      <c r="K3" s="174"/>
      <c r="L3" s="174"/>
      <c r="M3" s="174"/>
      <c r="N3" s="14"/>
    </row>
    <row r="4" spans="1:14" ht="24.75">
      <c r="A4" s="178" t="s">
        <v>101</v>
      </c>
      <c r="B4" s="178"/>
      <c r="C4" s="178"/>
      <c r="D4" s="99"/>
      <c r="E4" s="100"/>
      <c r="F4" s="100"/>
      <c r="G4" s="100"/>
      <c r="H4" s="5"/>
      <c r="I4" s="151"/>
      <c r="J4" s="154" t="s">
        <v>113</v>
      </c>
      <c r="K4" s="5"/>
      <c r="L4" s="101"/>
      <c r="M4" s="102"/>
      <c r="N4" s="17"/>
    </row>
    <row r="5" spans="1:14" ht="30.75">
      <c r="A5" s="179"/>
      <c r="B5" s="179"/>
      <c r="C5" s="179"/>
      <c r="D5" s="96"/>
      <c r="E5" s="96"/>
      <c r="F5" s="96"/>
      <c r="G5" s="103"/>
      <c r="H5" s="104"/>
      <c r="I5" s="152"/>
      <c r="J5" s="155" t="s">
        <v>114</v>
      </c>
      <c r="K5" s="104"/>
      <c r="L5" s="104"/>
      <c r="M5" s="102"/>
      <c r="N5" s="17"/>
    </row>
    <row r="6" spans="1:14" ht="30.75">
      <c r="A6" s="97"/>
      <c r="B6" s="105"/>
      <c r="C6" s="106"/>
      <c r="D6" s="106"/>
      <c r="E6" s="99"/>
      <c r="F6" s="99"/>
      <c r="G6" s="107"/>
      <c r="H6" s="107"/>
      <c r="I6" s="153"/>
      <c r="J6" s="156" t="s">
        <v>115</v>
      </c>
      <c r="K6" s="107"/>
      <c r="L6" s="107"/>
      <c r="M6" s="102"/>
      <c r="N6" s="17"/>
    </row>
    <row r="7" spans="1:14" ht="30.75">
      <c r="A7" s="108" t="s">
        <v>102</v>
      </c>
      <c r="B7" s="109">
        <v>220</v>
      </c>
      <c r="C7" s="106"/>
      <c r="D7" s="106"/>
      <c r="E7" s="99"/>
      <c r="F7" s="99"/>
      <c r="G7" s="107"/>
      <c r="H7" s="107"/>
      <c r="I7" s="153"/>
      <c r="J7" s="156" t="s">
        <v>116</v>
      </c>
      <c r="K7" s="107"/>
      <c r="L7" s="107"/>
      <c r="M7" s="102"/>
      <c r="N7" s="17"/>
    </row>
    <row r="8" spans="1:14" ht="24.75">
      <c r="A8" s="97"/>
      <c r="B8" s="105"/>
      <c r="C8" s="106"/>
      <c r="D8" s="106"/>
      <c r="E8" s="99"/>
      <c r="F8" s="99"/>
      <c r="G8" s="107"/>
      <c r="H8" s="107"/>
      <c r="I8" s="153"/>
      <c r="J8" s="150"/>
      <c r="K8" s="150"/>
      <c r="L8" s="150"/>
      <c r="M8" s="102"/>
      <c r="N8" s="17"/>
    </row>
    <row r="9" spans="1:14" ht="24.75">
      <c r="A9" s="105"/>
      <c r="B9" s="105"/>
      <c r="C9" s="106"/>
      <c r="D9" s="106"/>
      <c r="E9" s="99"/>
      <c r="F9" s="99"/>
      <c r="G9" s="107"/>
      <c r="H9" s="107"/>
      <c r="I9" s="153"/>
      <c r="J9" s="150"/>
      <c r="K9" s="150"/>
      <c r="L9" s="150"/>
      <c r="M9" s="102"/>
      <c r="N9" s="17"/>
    </row>
    <row r="10" spans="1:14" ht="15.75" hidden="1">
      <c r="A10" s="110"/>
      <c r="B10" s="110"/>
      <c r="C10" s="111"/>
      <c r="D10" s="111"/>
      <c r="E10" s="111"/>
      <c r="F10" s="111"/>
      <c r="G10" s="104"/>
      <c r="H10" s="112"/>
      <c r="I10" s="112"/>
      <c r="J10" s="112"/>
      <c r="K10" s="112"/>
      <c r="L10" s="112"/>
      <c r="M10" s="18"/>
      <c r="N10" s="14"/>
    </row>
    <row r="11" spans="1:14" ht="15.75" hidden="1">
      <c r="A11" s="5"/>
      <c r="B11" s="5"/>
      <c r="C11" s="110"/>
      <c r="D11" s="110"/>
      <c r="E11" s="110"/>
      <c r="F11" s="110"/>
      <c r="G11" s="5"/>
      <c r="H11" s="18"/>
      <c r="I11" s="18"/>
      <c r="J11" s="18"/>
      <c r="K11" s="18"/>
      <c r="L11" s="18"/>
      <c r="M11" s="18"/>
      <c r="N11" s="14"/>
    </row>
    <row r="12" spans="1:14" ht="15.75" hidden="1">
      <c r="A12" s="5"/>
      <c r="B12" s="110"/>
      <c r="C12" s="110"/>
      <c r="D12" s="28"/>
      <c r="E12" s="110"/>
      <c r="F12" s="110"/>
      <c r="G12" s="5"/>
      <c r="H12" s="18"/>
      <c r="I12" s="18"/>
      <c r="J12" s="18"/>
      <c r="K12" s="18"/>
      <c r="L12" s="18"/>
      <c r="M12" s="18"/>
      <c r="N12" s="14"/>
    </row>
    <row r="13" spans="1:14" ht="15.75" hidden="1">
      <c r="A13" s="5"/>
      <c r="B13" s="96"/>
      <c r="C13" s="96"/>
      <c r="D13" s="96"/>
      <c r="E13" s="96"/>
      <c r="F13" s="96"/>
      <c r="G13" s="18"/>
      <c r="H13" s="18"/>
      <c r="I13" s="18"/>
      <c r="J13" s="18"/>
      <c r="K13" s="18"/>
      <c r="L13" s="18"/>
      <c r="M13" s="18"/>
      <c r="N13" s="14"/>
    </row>
    <row r="14" spans="1:14" ht="15.75" hidden="1">
      <c r="A14" s="5"/>
      <c r="B14" s="113"/>
      <c r="C14" s="113"/>
      <c r="D14" s="113"/>
      <c r="E14" s="113"/>
      <c r="F14" s="113"/>
      <c r="G14" s="18"/>
      <c r="H14" s="18"/>
      <c r="I14" s="18"/>
      <c r="J14" s="18"/>
      <c r="K14" s="18"/>
      <c r="L14" s="18"/>
      <c r="M14" s="18"/>
      <c r="N14" s="14"/>
    </row>
    <row r="15" spans="1:14" ht="15.75" hidden="1">
      <c r="A15" s="5"/>
      <c r="B15" s="114"/>
      <c r="C15" s="114"/>
      <c r="D15" s="114"/>
      <c r="E15" s="114"/>
      <c r="F15" s="115"/>
      <c r="G15" s="18"/>
      <c r="H15" s="18"/>
      <c r="I15" s="18"/>
      <c r="J15" s="18"/>
      <c r="K15" s="18"/>
      <c r="L15" s="18"/>
      <c r="M15" s="18"/>
      <c r="N15" s="14"/>
    </row>
    <row r="16" spans="1:14" ht="15.75" hidden="1">
      <c r="A16" s="31"/>
      <c r="B16" s="116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4"/>
    </row>
    <row r="17" spans="1:57" ht="15.75" hidden="1">
      <c r="A17" s="5"/>
      <c r="B17" s="5"/>
      <c r="C17" s="5"/>
      <c r="D17" s="5"/>
      <c r="E17" s="5"/>
      <c r="F17" s="18"/>
      <c r="G17" s="18"/>
      <c r="H17" s="18"/>
      <c r="I17" s="18"/>
      <c r="J17" s="18"/>
      <c r="K17" s="18"/>
      <c r="L17" s="18"/>
      <c r="M17" s="18"/>
      <c r="N17" s="14"/>
      <c r="BA17" s="31" t="s">
        <v>0</v>
      </c>
      <c r="BB17" s="14"/>
      <c r="BC17" s="31" t="s">
        <v>1</v>
      </c>
      <c r="BD17" s="14"/>
      <c r="BE17" s="31" t="s">
        <v>2</v>
      </c>
    </row>
    <row r="18" spans="1:57" ht="15.75" hidden="1">
      <c r="A18" s="5"/>
      <c r="B18" s="5"/>
      <c r="C18" s="5"/>
      <c r="D18" s="5"/>
      <c r="E18" s="5"/>
      <c r="F18" s="5"/>
      <c r="G18" s="5"/>
      <c r="H18" s="5"/>
      <c r="I18" s="5"/>
      <c r="J18" s="25"/>
      <c r="K18" s="5"/>
      <c r="L18" s="18"/>
      <c r="M18" s="18"/>
      <c r="N18" s="14"/>
      <c r="BA18" s="31" t="s">
        <v>3</v>
      </c>
      <c r="BB18" s="14"/>
      <c r="BC18" s="31" t="s">
        <v>4</v>
      </c>
      <c r="BD18" s="14"/>
      <c r="BE18" s="31" t="s">
        <v>4</v>
      </c>
    </row>
    <row r="19" spans="1:57" ht="15.75" hidden="1">
      <c r="A19" s="5"/>
      <c r="B19" s="5"/>
      <c r="C19" s="5"/>
      <c r="D19" s="5"/>
      <c r="E19" s="5"/>
      <c r="F19" s="5"/>
      <c r="G19" s="5"/>
      <c r="H19" s="33"/>
      <c r="I19" s="5"/>
      <c r="J19" s="5"/>
      <c r="K19" s="5"/>
      <c r="L19" s="18"/>
      <c r="M19" s="18"/>
      <c r="N19" s="14"/>
      <c r="BA19" s="13">
        <v>28</v>
      </c>
      <c r="BB19" s="14"/>
      <c r="BC19" s="12">
        <v>57</v>
      </c>
      <c r="BD19" s="14"/>
      <c r="BE19" s="12">
        <v>75</v>
      </c>
    </row>
    <row r="20" spans="1:57" ht="15.75" hidden="1">
      <c r="A20" s="5"/>
      <c r="B20" s="5"/>
      <c r="C20" s="5"/>
      <c r="D20" s="5"/>
      <c r="E20" s="5"/>
      <c r="F20" s="5"/>
      <c r="G20" s="5"/>
      <c r="H20" s="32"/>
      <c r="I20" s="5"/>
      <c r="J20" s="5"/>
      <c r="K20" s="117"/>
      <c r="L20" s="18"/>
      <c r="M20" s="18"/>
      <c r="N20" s="14"/>
      <c r="BB20" s="14"/>
      <c r="BC20" s="14"/>
      <c r="BD20" s="33" t="s">
        <v>90</v>
      </c>
      <c r="BE20" s="41">
        <v>74</v>
      </c>
    </row>
    <row r="21" spans="1:57" ht="15.75">
      <c r="A21" s="5"/>
      <c r="B21" s="5"/>
      <c r="C21" s="5"/>
      <c r="D21" s="5"/>
      <c r="E21" s="5"/>
      <c r="F21" s="5"/>
      <c r="G21" s="25"/>
      <c r="H21" s="33"/>
      <c r="I21" s="5"/>
      <c r="J21" s="25"/>
      <c r="K21" s="5"/>
      <c r="L21" s="18"/>
      <c r="M21" s="18"/>
      <c r="N21" s="14"/>
      <c r="BB21" s="14"/>
      <c r="BC21" s="14"/>
      <c r="BD21" s="32" t="s">
        <v>89</v>
      </c>
      <c r="BE21" s="40">
        <v>28.464</v>
      </c>
    </row>
    <row r="22" spans="1:14" ht="15.75">
      <c r="A22" s="118"/>
      <c r="B22" s="118"/>
      <c r="C22" s="118"/>
      <c r="D22" s="118"/>
      <c r="E22" s="119"/>
      <c r="F22" s="55" t="s">
        <v>11</v>
      </c>
      <c r="G22" s="55" t="s">
        <v>12</v>
      </c>
      <c r="H22" s="55" t="s">
        <v>11</v>
      </c>
      <c r="I22" s="120"/>
      <c r="J22" s="120"/>
      <c r="K22" s="121"/>
      <c r="L22" s="46"/>
      <c r="M22" s="46"/>
      <c r="N22" s="27"/>
    </row>
    <row r="23" spans="1:14" ht="15.75">
      <c r="A23" s="61" t="s">
        <v>13</v>
      </c>
      <c r="B23" s="55" t="s">
        <v>14</v>
      </c>
      <c r="C23" s="55" t="s">
        <v>15</v>
      </c>
      <c r="D23" s="120"/>
      <c r="E23" s="122"/>
      <c r="F23" s="56" t="s">
        <v>14</v>
      </c>
      <c r="G23" s="56" t="s">
        <v>16</v>
      </c>
      <c r="H23" s="56" t="s">
        <v>15</v>
      </c>
      <c r="I23" s="56" t="s">
        <v>12</v>
      </c>
      <c r="J23" s="56"/>
      <c r="K23" s="62" t="s">
        <v>85</v>
      </c>
      <c r="L23" s="47"/>
      <c r="M23" s="46"/>
      <c r="N23" s="27"/>
    </row>
    <row r="24" spans="1:14" ht="15" customHeight="1">
      <c r="A24" s="57" t="s">
        <v>18</v>
      </c>
      <c r="B24" s="58" t="s">
        <v>94</v>
      </c>
      <c r="C24" s="56" t="s">
        <v>20</v>
      </c>
      <c r="D24" s="56" t="s">
        <v>19</v>
      </c>
      <c r="E24" s="59" t="s">
        <v>21</v>
      </c>
      <c r="F24" s="65" t="s">
        <v>94</v>
      </c>
      <c r="G24" s="56" t="s">
        <v>22</v>
      </c>
      <c r="H24" s="56" t="s">
        <v>20</v>
      </c>
      <c r="I24" s="56" t="s">
        <v>20</v>
      </c>
      <c r="J24" s="56" t="s">
        <v>23</v>
      </c>
      <c r="K24" s="63" t="s">
        <v>86</v>
      </c>
      <c r="L24" s="47"/>
      <c r="M24" s="47"/>
      <c r="N24" s="28"/>
    </row>
    <row r="25" spans="1:14" ht="3.75" customHeight="1" thickBot="1">
      <c r="A25" s="123"/>
      <c r="B25" s="36"/>
      <c r="C25" s="36"/>
      <c r="D25" s="36"/>
      <c r="E25" s="124"/>
      <c r="F25" s="36"/>
      <c r="G25" s="36"/>
      <c r="H25" s="36"/>
      <c r="I25" s="36"/>
      <c r="J25" s="36"/>
      <c r="K25" s="125"/>
      <c r="L25" s="105"/>
      <c r="M25" s="105"/>
      <c r="N25" s="27"/>
    </row>
    <row r="26" spans="1:55" ht="15" customHeight="1" thickTop="1">
      <c r="A26" s="83">
        <v>2</v>
      </c>
      <c r="B26" s="126">
        <v>3.23</v>
      </c>
      <c r="C26" s="127">
        <v>848</v>
      </c>
      <c r="D26" s="128">
        <v>3.89</v>
      </c>
      <c r="E26" s="129">
        <v>18912</v>
      </c>
      <c r="F26" s="84">
        <v>3.3722778065309424</v>
      </c>
      <c r="G26" s="84">
        <v>96.1177629924966</v>
      </c>
      <c r="H26" s="85">
        <v>876.0010722049748</v>
      </c>
      <c r="I26" s="86">
        <v>38.03863255033006</v>
      </c>
      <c r="J26" s="87">
        <v>0.05099012406210463</v>
      </c>
      <c r="K26" s="86">
        <v>4.342304336977961</v>
      </c>
      <c r="L26" s="48"/>
      <c r="M26" s="48"/>
      <c r="AA26" s="66">
        <v>101.81972301033227</v>
      </c>
      <c r="AB26" s="66">
        <v>3.7974119194312004</v>
      </c>
      <c r="AC26" s="60">
        <v>45.37509189188302</v>
      </c>
      <c r="BA26" s="4" t="s">
        <v>5</v>
      </c>
      <c r="BB26" s="4" t="s">
        <v>6</v>
      </c>
      <c r="BC26" s="4" t="s">
        <v>7</v>
      </c>
    </row>
    <row r="27" spans="1:55" ht="15" customHeight="1">
      <c r="A27" s="83">
        <v>1.5</v>
      </c>
      <c r="B27" s="126">
        <v>9.59</v>
      </c>
      <c r="C27" s="127">
        <v>852.3</v>
      </c>
      <c r="D27" s="128">
        <v>3.9</v>
      </c>
      <c r="E27" s="129">
        <v>18776</v>
      </c>
      <c r="F27" s="84">
        <v>10.012428533941714</v>
      </c>
      <c r="G27" s="84">
        <v>91.43812708888981</v>
      </c>
      <c r="H27" s="85">
        <v>880.4430587739387</v>
      </c>
      <c r="I27" s="86">
        <v>107.43966566264899</v>
      </c>
      <c r="J27" s="87">
        <v>0.14402099954778685</v>
      </c>
      <c r="K27" s="86">
        <v>12.202909045846093</v>
      </c>
      <c r="L27" s="48"/>
      <c r="M27" s="48"/>
      <c r="AA27" s="66">
        <v>95.33656723085866</v>
      </c>
      <c r="AB27" s="66">
        <v>10.9175592683647</v>
      </c>
      <c r="AC27" s="60">
        <v>122.14704520129183</v>
      </c>
      <c r="BA27" s="6">
        <f>(17.68*BE21-0.001978*BC19^2+0.1064*BC19+0.002475*BE21*(BE19-BC19)-2.741)/(BE19+459.7)</f>
        <v>0.937738674396858</v>
      </c>
      <c r="BB27" s="6">
        <f>1+0.667*(1-BA27)</f>
        <v>1.0415283041772958</v>
      </c>
      <c r="BC27" s="6">
        <f>1+0.5*(1-BA27)</f>
        <v>1.031130662801571</v>
      </c>
    </row>
    <row r="28" spans="1:55" ht="15" customHeight="1">
      <c r="A28" s="83">
        <v>1.25</v>
      </c>
      <c r="B28" s="126">
        <v>17.03</v>
      </c>
      <c r="C28" s="127">
        <v>854.5</v>
      </c>
      <c r="D28" s="128">
        <v>3.91</v>
      </c>
      <c r="E28" s="129">
        <v>18602</v>
      </c>
      <c r="F28" s="84">
        <v>17.780152026384506</v>
      </c>
      <c r="G28" s="84">
        <v>84.7300002410524</v>
      </c>
      <c r="H28" s="85">
        <v>882.7157030650366</v>
      </c>
      <c r="I28" s="86">
        <v>176.79524275039682</v>
      </c>
      <c r="J28" s="87">
        <v>0.23699094202466062</v>
      </c>
      <c r="K28" s="86">
        <v>20.028559833762348</v>
      </c>
      <c r="L28" s="48"/>
      <c r="M28" s="48"/>
      <c r="AA28" s="66">
        <v>88.69441403834412</v>
      </c>
      <c r="AB28" s="66">
        <v>19.567219751513548</v>
      </c>
      <c r="AC28" s="60">
        <v>203.66822964967878</v>
      </c>
      <c r="BA28" s="6"/>
      <c r="BB28" s="6"/>
      <c r="BC28" s="6"/>
    </row>
    <row r="29" spans="1:55" ht="15" customHeight="1">
      <c r="A29" s="83">
        <v>1</v>
      </c>
      <c r="B29" s="126">
        <v>29.84</v>
      </c>
      <c r="C29" s="127">
        <v>862.3</v>
      </c>
      <c r="D29" s="128">
        <v>3.95</v>
      </c>
      <c r="E29" s="129">
        <v>18516</v>
      </c>
      <c r="F29" s="84">
        <v>31.15441787829205</v>
      </c>
      <c r="G29" s="84">
        <v>71.3248608859631</v>
      </c>
      <c r="H29" s="85">
        <v>890.7732600971106</v>
      </c>
      <c r="I29" s="86">
        <v>260.770506895312</v>
      </c>
      <c r="J29" s="87">
        <v>0.34955832023500266</v>
      </c>
      <c r="K29" s="86">
        <v>29.27462223853501</v>
      </c>
      <c r="L29" s="48"/>
      <c r="M29" s="48"/>
      <c r="N29" s="29"/>
      <c r="AA29" s="66">
        <v>74.20516513291231</v>
      </c>
      <c r="AB29" s="66">
        <v>33.86025628159487</v>
      </c>
      <c r="AC29" s="60">
        <v>294.8643538234838</v>
      </c>
      <c r="BA29" s="7" t="s">
        <v>8</v>
      </c>
      <c r="BB29" s="7" t="s">
        <v>9</v>
      </c>
      <c r="BC29" s="7" t="s">
        <v>10</v>
      </c>
    </row>
    <row r="30" spans="1:55" ht="15" customHeight="1">
      <c r="A30" s="83">
        <v>0.875</v>
      </c>
      <c r="B30" s="126">
        <v>37.96</v>
      </c>
      <c r="C30" s="127">
        <v>857.4</v>
      </c>
      <c r="D30" s="128">
        <v>3.92</v>
      </c>
      <c r="E30" s="129">
        <v>18533</v>
      </c>
      <c r="F30" s="84">
        <v>39.63209459316241</v>
      </c>
      <c r="G30" s="84">
        <v>61.3852981071243</v>
      </c>
      <c r="H30" s="85">
        <v>885.7114614487564</v>
      </c>
      <c r="I30" s="86">
        <v>285.50209021287844</v>
      </c>
      <c r="J30" s="87">
        <v>0.38271057669286657</v>
      </c>
      <c r="K30" s="86">
        <v>32.23420974432049</v>
      </c>
      <c r="L30" s="48"/>
      <c r="M30" s="48"/>
      <c r="AA30" s="66">
        <v>63.35745792805657</v>
      </c>
      <c r="AB30" s="66">
        <v>42.29894943588643</v>
      </c>
      <c r="AC30" s="60">
        <v>314.5033110702514</v>
      </c>
      <c r="BA30" s="6">
        <f>BA19+BA19*((1+0.0000102*(BE20-62))/(1+0.000101*(BE20-32))-1)</f>
        <v>27.885138442725953</v>
      </c>
      <c r="BB30" s="6">
        <f>BA30*((980.616/980.665)*(1-0.0026373*COS(2*36.430283*PI()/180)+0.0000059*(COS(2*36.430283*PI()/180))^2)-1)</f>
        <v>-0.02305047291038666</v>
      </c>
      <c r="BC30" s="6">
        <v>1.793016</v>
      </c>
    </row>
    <row r="31" spans="1:53" ht="15" customHeight="1">
      <c r="A31" s="83">
        <v>0.75</v>
      </c>
      <c r="B31" s="126">
        <v>46.08</v>
      </c>
      <c r="C31" s="127">
        <v>843.1</v>
      </c>
      <c r="D31" s="128">
        <v>3.81</v>
      </c>
      <c r="E31" s="129">
        <v>18870</v>
      </c>
      <c r="F31" s="84">
        <v>48.10977130803276</v>
      </c>
      <c r="G31" s="84">
        <v>49.547139403476244</v>
      </c>
      <c r="H31" s="85">
        <v>870.9392735566206</v>
      </c>
      <c r="I31" s="86">
        <v>279.7369111903766</v>
      </c>
      <c r="J31" s="87">
        <v>0.374982454678789</v>
      </c>
      <c r="K31" s="86">
        <v>32.11899149386454</v>
      </c>
      <c r="L31" s="48"/>
      <c r="M31" s="48"/>
      <c r="AA31" s="66">
        <v>50.50217219016183</v>
      </c>
      <c r="AB31" s="66">
        <v>50.051998771391794</v>
      </c>
      <c r="AC31" s="60">
        <v>296.6397733382946</v>
      </c>
      <c r="BA31" s="6"/>
    </row>
    <row r="32" spans="1:29" ht="15" customHeight="1">
      <c r="A32" s="83">
        <v>0.625</v>
      </c>
      <c r="B32" s="126">
        <v>53.82</v>
      </c>
      <c r="C32" s="127">
        <v>808.8</v>
      </c>
      <c r="D32" s="128">
        <v>3.69</v>
      </c>
      <c r="E32" s="129">
        <v>19430</v>
      </c>
      <c r="F32" s="84">
        <v>56.190709457428895</v>
      </c>
      <c r="G32" s="84">
        <v>37.0821240756012</v>
      </c>
      <c r="H32" s="85">
        <v>835.506683018141</v>
      </c>
      <c r="I32" s="86">
        <v>244.52711010402177</v>
      </c>
      <c r="J32" s="87">
        <v>0.32778432989815254</v>
      </c>
      <c r="K32" s="86">
        <v>29.266924499120073</v>
      </c>
      <c r="L32" s="48"/>
      <c r="M32" s="48"/>
      <c r="AA32" s="66">
        <v>37.78730959658672</v>
      </c>
      <c r="AB32" s="66">
        <v>58.43795009346903</v>
      </c>
      <c r="AC32" s="60">
        <v>259.14261811847996</v>
      </c>
    </row>
    <row r="33" spans="1:29" ht="15" customHeight="1">
      <c r="A33" s="83">
        <v>0.5</v>
      </c>
      <c r="B33" s="126">
        <v>61.35</v>
      </c>
      <c r="C33" s="127">
        <v>764.5</v>
      </c>
      <c r="D33" s="128">
        <v>3.47</v>
      </c>
      <c r="E33" s="129">
        <v>20223</v>
      </c>
      <c r="F33" s="84">
        <v>64.05239734695769</v>
      </c>
      <c r="G33" s="84">
        <v>25.225806091058708</v>
      </c>
      <c r="H33" s="85">
        <v>789.7438911564897</v>
      </c>
      <c r="I33" s="86">
        <v>189.61746631931055</v>
      </c>
      <c r="J33" s="87">
        <v>0.2541789092752152</v>
      </c>
      <c r="K33" s="86">
        <v>24.00999468848533</v>
      </c>
      <c r="L33" s="48"/>
      <c r="M33" s="48"/>
      <c r="N33" s="43"/>
      <c r="AA33" s="66">
        <v>25.750320389572817</v>
      </c>
      <c r="AB33" s="66">
        <v>66.82390141554626</v>
      </c>
      <c r="AC33" s="60">
        <v>201.9353547747713</v>
      </c>
    </row>
    <row r="34" spans="1:29" ht="15" customHeight="1">
      <c r="A34" s="83">
        <v>0.375</v>
      </c>
      <c r="B34" s="126">
        <v>68.41</v>
      </c>
      <c r="C34" s="127">
        <v>716.9</v>
      </c>
      <c r="D34" s="128">
        <v>3.22</v>
      </c>
      <c r="E34" s="129">
        <v>21152</v>
      </c>
      <c r="F34" s="84">
        <v>71.42338227392624</v>
      </c>
      <c r="G34" s="84">
        <v>15.117018607315018</v>
      </c>
      <c r="H34" s="85">
        <v>740.5721328581915</v>
      </c>
      <c r="I34" s="86">
        <v>126.70812290736767</v>
      </c>
      <c r="J34" s="87">
        <v>0.16985003070692717</v>
      </c>
      <c r="K34" s="86">
        <v>17.10949106582578</v>
      </c>
      <c r="L34" s="48"/>
      <c r="M34" s="48"/>
      <c r="AA34" s="66">
        <v>15.446485052067105</v>
      </c>
      <c r="AB34" s="66">
        <v>74.89340174433757</v>
      </c>
      <c r="AC34" s="60">
        <v>135.7597791263889</v>
      </c>
    </row>
    <row r="35" spans="1:29" ht="15" customHeight="1">
      <c r="A35" s="83">
        <v>0.25</v>
      </c>
      <c r="B35" s="126">
        <v>74.72</v>
      </c>
      <c r="C35" s="127">
        <v>691.9</v>
      </c>
      <c r="D35" s="128">
        <v>3.11</v>
      </c>
      <c r="E35" s="129">
        <v>22011</v>
      </c>
      <c r="F35" s="84">
        <v>78.01133055851146</v>
      </c>
      <c r="G35" s="84">
        <v>7.320081072011906</v>
      </c>
      <c r="H35" s="85">
        <v>714.7466295502618</v>
      </c>
      <c r="I35" s="86">
        <v>67.01491535372261</v>
      </c>
      <c r="J35" s="87">
        <v>0.08983232621142441</v>
      </c>
      <c r="K35" s="86">
        <v>9.37603796689328</v>
      </c>
      <c r="L35" s="48"/>
      <c r="M35" s="48"/>
      <c r="AA35" s="66">
        <v>7.471521277345599</v>
      </c>
      <c r="AB35" s="66">
        <v>81.85532359662808</v>
      </c>
      <c r="AC35" s="60">
        <v>71.77180431653561</v>
      </c>
    </row>
    <row r="36" spans="1:29" ht="15" customHeight="1">
      <c r="A36" s="83">
        <v>0</v>
      </c>
      <c r="B36" s="126">
        <v>81.98</v>
      </c>
      <c r="C36" s="127">
        <v>666.1</v>
      </c>
      <c r="D36" s="128">
        <v>2.98</v>
      </c>
      <c r="E36" s="129">
        <v>22776</v>
      </c>
      <c r="F36" s="84">
        <v>85.59112525678225</v>
      </c>
      <c r="G36" s="84">
        <v>0</v>
      </c>
      <c r="H36" s="85">
        <v>688.0947101364785</v>
      </c>
      <c r="I36" s="88">
        <v>0</v>
      </c>
      <c r="J36" s="89">
        <v>0</v>
      </c>
      <c r="K36" s="86">
        <v>0</v>
      </c>
      <c r="L36" s="48"/>
      <c r="M36" s="48"/>
      <c r="N36" s="29"/>
      <c r="AA36" s="66">
        <v>0</v>
      </c>
      <c r="AB36" s="66">
        <v>87.65692514020354</v>
      </c>
      <c r="AC36" s="70">
        <v>0</v>
      </c>
    </row>
    <row r="37" spans="1:13" ht="23.25">
      <c r="A37" s="5"/>
      <c r="B37" s="130"/>
      <c r="C37" s="131"/>
      <c r="D37" s="132"/>
      <c r="E37" s="133"/>
      <c r="F37" s="131" t="s">
        <v>99</v>
      </c>
      <c r="G37" s="134">
        <v>288.63</v>
      </c>
      <c r="H37" s="135"/>
      <c r="I37" s="136"/>
      <c r="J37" s="137"/>
      <c r="K37" s="5"/>
      <c r="L37" s="5"/>
      <c r="M37" s="5"/>
    </row>
    <row r="38" spans="1:54" ht="15.75" hidden="1">
      <c r="A38" s="5"/>
      <c r="B38" s="5"/>
      <c r="C38" s="5"/>
      <c r="D38" s="5"/>
      <c r="E38" s="5"/>
      <c r="F38" s="138"/>
      <c r="G38" s="138"/>
      <c r="H38" s="5"/>
      <c r="I38" s="138"/>
      <c r="J38" s="5"/>
      <c r="K38" s="5"/>
      <c r="L38" s="5"/>
      <c r="M38" s="5"/>
      <c r="BB38" s="4" t="s">
        <v>17</v>
      </c>
    </row>
    <row r="39" spans="1:58" ht="23.25" hidden="1">
      <c r="A39" s="5"/>
      <c r="B39" s="5"/>
      <c r="C39" s="5"/>
      <c r="D39" s="110"/>
      <c r="E39" s="139"/>
      <c r="F39" s="67"/>
      <c r="G39" s="68"/>
      <c r="H39" s="5"/>
      <c r="I39" s="26"/>
      <c r="J39" s="5"/>
      <c r="K39" s="5"/>
      <c r="L39" s="5"/>
      <c r="M39" s="5"/>
      <c r="BB39" s="4" t="s">
        <v>24</v>
      </c>
      <c r="BD39" s="4" t="s">
        <v>25</v>
      </c>
      <c r="BF39" s="42" t="s">
        <v>91</v>
      </c>
    </row>
    <row r="40" spans="1:66" ht="15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BL40" s="37"/>
      <c r="BM40" s="37"/>
      <c r="BN40" s="37"/>
    </row>
    <row r="41" spans="1:66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BA41" s="5">
        <f>COUNT(B27:B$36)</f>
        <v>10</v>
      </c>
      <c r="BB41" s="5">
        <f>(0.5757*BD41-0.5853)/(BD41-1.0157)</f>
        <v>0.599064255015539</v>
      </c>
      <c r="BD41" s="5">
        <f aca="true" t="shared" si="0" ref="BD41:BD50">IF(ISERR(($BE$21*0.4912-B26*0.03607)/($BE$21*0.4912)),0,($BE$21*0.4912-B26*0.03607)/($BE$21*0.4912))</f>
        <v>0.9916671344270744</v>
      </c>
      <c r="BF41">
        <f aca="true" t="shared" si="1" ref="BF41:BF50">(I26*63025)/(746*E26)</f>
        <v>0.1699266375324738</v>
      </c>
      <c r="BL41" s="71"/>
      <c r="BM41" s="71"/>
      <c r="BN41" s="71"/>
    </row>
    <row r="42" spans="1:77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140"/>
      <c r="M42" s="5"/>
      <c r="BA42" s="5">
        <f>COUNT(B28:B$36)</f>
        <v>9</v>
      </c>
      <c r="BB42" s="5">
        <f>(0.5719*BD42-0.582)/(BD42-1.0165)</f>
        <v>0.5879921467327247</v>
      </c>
      <c r="BD42" s="5">
        <f t="shared" si="0"/>
        <v>0.9752593867354936</v>
      </c>
      <c r="BF42">
        <f t="shared" si="1"/>
        <v>0.4834322271250142</v>
      </c>
      <c r="BL42" s="71"/>
      <c r="BM42" s="71"/>
      <c r="BN42" s="71"/>
      <c r="BO42" s="39"/>
      <c r="BP42" s="39"/>
      <c r="BQ42" s="39"/>
      <c r="BS42" s="8"/>
      <c r="BU42" s="10"/>
      <c r="BW42" s="9"/>
      <c r="BY42" s="10"/>
    </row>
    <row r="43" spans="1:77" ht="19.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BA43" s="5">
        <f>COUNT(B29:B$36)</f>
        <v>8</v>
      </c>
      <c r="BB43" s="5">
        <f>(0.5717*BD43-0.5814)/(BD43-1.0152)</f>
        <v>0.5887823900559721</v>
      </c>
      <c r="BD43" s="5">
        <f t="shared" si="0"/>
        <v>0.9560654177377952</v>
      </c>
      <c r="BF43">
        <f t="shared" si="1"/>
        <v>0.8029434534514694</v>
      </c>
      <c r="BL43" s="71"/>
      <c r="BM43" s="71"/>
      <c r="BN43" s="71"/>
      <c r="BO43" s="39"/>
      <c r="BP43" s="39"/>
      <c r="BQ43" s="39"/>
      <c r="BS43" s="8"/>
      <c r="BU43" s="10"/>
      <c r="BW43" s="9"/>
      <c r="BY43" s="10"/>
    </row>
    <row r="44" spans="1:77" ht="19.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140"/>
      <c r="N44" s="30"/>
      <c r="BA44" s="5">
        <f>COUNT(B30:B$36)</f>
        <v>7</v>
      </c>
      <c r="BB44" s="5">
        <f>(0.5687*BD44-0.5785)/(BD44-1.0146)</f>
        <v>0.5850457415768129</v>
      </c>
      <c r="BD44" s="5">
        <f t="shared" si="0"/>
        <v>0.9230177372457901</v>
      </c>
      <c r="BF44">
        <f t="shared" si="1"/>
        <v>1.1898311262049601</v>
      </c>
      <c r="BL44" s="71"/>
      <c r="BM44" s="71"/>
      <c r="BN44" s="71"/>
      <c r="BO44" s="39"/>
      <c r="BP44" s="39"/>
      <c r="BQ44" s="39"/>
      <c r="BS44" s="8"/>
      <c r="BU44" s="10"/>
      <c r="BW44" s="9"/>
      <c r="BY44" s="10"/>
    </row>
    <row r="45" spans="1:77" ht="19.5">
      <c r="A45" s="5"/>
      <c r="B45" s="138"/>
      <c r="C45" s="138"/>
      <c r="D45" s="138"/>
      <c r="E45" s="138"/>
      <c r="F45" s="138"/>
      <c r="G45" s="138"/>
      <c r="H45" s="138"/>
      <c r="I45" s="5"/>
      <c r="J45" s="5"/>
      <c r="K45" s="5"/>
      <c r="L45" s="5"/>
      <c r="M45" s="5"/>
      <c r="BA45" s="5">
        <f>COUNT(B31:B$39)</f>
        <v>6</v>
      </c>
      <c r="BB45" s="5">
        <f>(0.574*BD45-0.5841)/(BD45-1.0158)</f>
        <v>0.5830635302369116</v>
      </c>
      <c r="BD45" s="5">
        <f t="shared" si="0"/>
        <v>0.9020694807590547</v>
      </c>
      <c r="BF45">
        <f t="shared" si="1"/>
        <v>1.3014802836058874</v>
      </c>
      <c r="BL45" s="71"/>
      <c r="BM45" s="71"/>
      <c r="BN45" s="71"/>
      <c r="BO45" s="39"/>
      <c r="BP45" s="39"/>
      <c r="BQ45" s="39"/>
      <c r="BS45" s="8"/>
      <c r="BU45" s="10"/>
      <c r="BW45" s="9"/>
      <c r="BY45" s="10"/>
    </row>
    <row r="46" spans="1:77" ht="15.75" customHeight="1">
      <c r="A46" s="5"/>
      <c r="B46" s="138"/>
      <c r="C46" s="138"/>
      <c r="D46" s="138"/>
      <c r="E46" s="138"/>
      <c r="F46" s="138"/>
      <c r="G46" s="138"/>
      <c r="H46" s="138"/>
      <c r="I46" s="5"/>
      <c r="J46" s="5"/>
      <c r="K46" s="5"/>
      <c r="L46" s="5"/>
      <c r="M46" s="5"/>
      <c r="BA46" s="5">
        <f>COUNT(B32:B$36)</f>
        <v>5</v>
      </c>
      <c r="BB46" s="5">
        <f>(0.5715*BD46-0.5807)/(BD46-1.0138)</f>
        <v>0.5813983427665589</v>
      </c>
      <c r="BD46" s="5">
        <f t="shared" si="0"/>
        <v>0.8811212242723193</v>
      </c>
      <c r="BF46">
        <f t="shared" si="1"/>
        <v>1.2524255011198027</v>
      </c>
      <c r="BL46" s="71"/>
      <c r="BM46" s="71"/>
      <c r="BN46" s="71"/>
      <c r="BO46" s="39"/>
      <c r="BP46" s="39"/>
      <c r="BQ46" s="39"/>
      <c r="BS46" s="8"/>
      <c r="BU46" s="10"/>
      <c r="BW46" s="9"/>
      <c r="BY46" s="10"/>
    </row>
    <row r="47" spans="1:77" ht="19.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BA47" s="5">
        <f>COUNT(B33:B$36)</f>
        <v>4</v>
      </c>
      <c r="BB47" s="5">
        <f>(0.5692*BD47-0.5767)/(BD47-1.0104)</f>
        <v>0.579788643179443</v>
      </c>
      <c r="BD47" s="5">
        <f t="shared" si="0"/>
        <v>0.8611533049118104</v>
      </c>
      <c r="BF47">
        <f t="shared" si="1"/>
        <v>1.0632324957195607</v>
      </c>
      <c r="BL47" s="71"/>
      <c r="BM47" s="71"/>
      <c r="BN47" s="71"/>
      <c r="BO47" s="39"/>
      <c r="BP47" s="39"/>
      <c r="BQ47" s="39"/>
      <c r="BS47" s="8"/>
      <c r="BU47" s="10"/>
      <c r="BW47" s="9"/>
      <c r="BY47" s="10"/>
    </row>
    <row r="48" spans="1:77" ht="19.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BA48" s="5">
        <f>COUNT(B34:B$36)</f>
        <v>3</v>
      </c>
      <c r="BB48" s="5">
        <f>(0.5694*BD48-0.5786)/(BD48-1.0138)</f>
        <v>0.5772006495869719</v>
      </c>
      <c r="BD48" s="5">
        <f t="shared" si="0"/>
        <v>0.8417271508052689</v>
      </c>
      <c r="BF48">
        <f t="shared" si="1"/>
        <v>0.792148828416676</v>
      </c>
      <c r="BL48" s="71"/>
      <c r="BM48" s="71"/>
      <c r="BN48" s="71"/>
      <c r="BO48" s="39"/>
      <c r="BP48" s="39"/>
      <c r="BQ48" s="39"/>
      <c r="BS48" s="8"/>
      <c r="BU48" s="10"/>
      <c r="BW48" s="9"/>
      <c r="BY48" s="10"/>
    </row>
    <row r="49" spans="1:77" ht="19.5" hidden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BA49" s="5">
        <f>COUNT(B35:B$36)</f>
        <v>2</v>
      </c>
      <c r="BB49" s="5">
        <f>(0.5553*BD49-0.5754)/(BD49-1.0263)</f>
        <v>0.5824004751949213</v>
      </c>
      <c r="BD49" s="5">
        <f t="shared" si="0"/>
        <v>0.823513518933797</v>
      </c>
      <c r="BF49">
        <f t="shared" si="1"/>
        <v>0.5060891729058284</v>
      </c>
      <c r="BL49" s="71"/>
      <c r="BM49" s="71"/>
      <c r="BN49" s="71"/>
      <c r="BO49" s="39"/>
      <c r="BP49" s="39"/>
      <c r="BQ49" s="39"/>
      <c r="BS49" s="8"/>
      <c r="BU49" s="10"/>
      <c r="BW49" s="9"/>
      <c r="BY49" s="10"/>
    </row>
    <row r="50" spans="1:77" ht="19.5" hidden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BB50" s="5">
        <f>(0.5575*BD50-0.5955)/(BD50-1.0468)</f>
        <v>0.607210885216942</v>
      </c>
      <c r="BD50" s="5">
        <f t="shared" si="0"/>
        <v>0.8072347629693511</v>
      </c>
      <c r="BF50">
        <f t="shared" si="1"/>
        <v>0.2572205878640236</v>
      </c>
      <c r="BL50" s="71"/>
      <c r="BM50" s="71"/>
      <c r="BN50" s="72"/>
      <c r="BO50" s="39"/>
      <c r="BP50" s="39"/>
      <c r="BQ50" s="39"/>
      <c r="BS50" s="8"/>
      <c r="BU50" s="10"/>
      <c r="BW50" s="9"/>
      <c r="BY50" s="10"/>
    </row>
    <row r="51" spans="1:77" ht="15.75" hidden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BL51" s="35"/>
      <c r="BM51" s="35"/>
      <c r="BN51" s="35"/>
      <c r="BO51" s="39"/>
      <c r="BP51" s="39"/>
      <c r="BQ51" s="39"/>
      <c r="BS51" s="8"/>
      <c r="BU51" s="10"/>
      <c r="BW51" s="9"/>
      <c r="BY51" s="10"/>
    </row>
    <row r="52" spans="1:69" ht="15.75" hidden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BL52" s="35"/>
      <c r="BM52" s="35"/>
      <c r="BN52" s="35"/>
      <c r="BO52" s="39"/>
      <c r="BP52" s="39"/>
      <c r="BQ52" s="39"/>
    </row>
    <row r="53" spans="1:69" ht="15.75" hidden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BL53" s="35"/>
      <c r="BM53" s="35"/>
      <c r="BN53" s="35"/>
      <c r="BO53" s="39"/>
      <c r="BP53" s="39"/>
      <c r="BQ53" s="39"/>
    </row>
    <row r="54" spans="1:69" ht="15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BL54" s="35"/>
      <c r="BM54" s="35"/>
      <c r="BN54" s="35"/>
      <c r="BO54" s="39"/>
      <c r="BP54" s="39"/>
      <c r="BQ54" s="39"/>
    </row>
    <row r="55" spans="1:69" ht="15.75">
      <c r="A55" s="159" t="s">
        <v>98</v>
      </c>
      <c r="B55" s="160"/>
      <c r="C55" s="160"/>
      <c r="D55" s="160"/>
      <c r="E55" s="160"/>
      <c r="F55" s="69" t="s">
        <v>11</v>
      </c>
      <c r="G55" s="55" t="s">
        <v>12</v>
      </c>
      <c r="H55" s="55" t="s">
        <v>11</v>
      </c>
      <c r="I55" s="120"/>
      <c r="J55" s="120"/>
      <c r="K55" s="121"/>
      <c r="L55" s="5"/>
      <c r="M55" s="5"/>
      <c r="BL55" s="35"/>
      <c r="BM55" s="35"/>
      <c r="BN55" s="35"/>
      <c r="BO55" s="39"/>
      <c r="BP55" s="39"/>
      <c r="BQ55" s="39"/>
    </row>
    <row r="56" spans="1:69" ht="15.75">
      <c r="A56" s="57" t="s">
        <v>13</v>
      </c>
      <c r="B56" s="56" t="s">
        <v>14</v>
      </c>
      <c r="C56" s="56" t="s">
        <v>15</v>
      </c>
      <c r="D56" s="141"/>
      <c r="E56" s="142"/>
      <c r="F56" s="56" t="s">
        <v>14</v>
      </c>
      <c r="G56" s="56" t="s">
        <v>16</v>
      </c>
      <c r="H56" s="56" t="s">
        <v>15</v>
      </c>
      <c r="I56" s="56" t="s">
        <v>12</v>
      </c>
      <c r="J56" s="56"/>
      <c r="K56" s="62" t="s">
        <v>85</v>
      </c>
      <c r="L56" s="5"/>
      <c r="M56" s="5"/>
      <c r="BL56" s="35"/>
      <c r="BM56" s="35"/>
      <c r="BN56" s="35"/>
      <c r="BO56" s="39"/>
      <c r="BP56" s="39"/>
      <c r="BQ56" s="39"/>
    </row>
    <row r="57" spans="1:69" ht="17.25">
      <c r="A57" s="64" t="s">
        <v>95</v>
      </c>
      <c r="B57" s="58" t="s">
        <v>96</v>
      </c>
      <c r="C57" s="56" t="s">
        <v>20</v>
      </c>
      <c r="D57" s="56" t="s">
        <v>19</v>
      </c>
      <c r="E57" s="59" t="s">
        <v>21</v>
      </c>
      <c r="F57" s="58" t="s">
        <v>96</v>
      </c>
      <c r="G57" s="65" t="s">
        <v>97</v>
      </c>
      <c r="H57" s="56" t="s">
        <v>20</v>
      </c>
      <c r="I57" s="56" t="s">
        <v>20</v>
      </c>
      <c r="J57" s="56" t="s">
        <v>23</v>
      </c>
      <c r="K57" s="63" t="s">
        <v>86</v>
      </c>
      <c r="L57" s="5"/>
      <c r="M57" s="5"/>
      <c r="BO57" s="19"/>
      <c r="BP57" s="19"/>
      <c r="BQ57" s="19"/>
    </row>
    <row r="58" spans="1:69" ht="15.75">
      <c r="A58" s="73">
        <f>AIRFLOW!A26*25.4</f>
        <v>50.8</v>
      </c>
      <c r="B58" s="143">
        <f>AIRFLOW!B26*25.4</f>
        <v>82.042</v>
      </c>
      <c r="C58" s="144">
        <f>AIRFLOW!C26</f>
        <v>848</v>
      </c>
      <c r="D58" s="145">
        <f>AIRFLOW!D26</f>
        <v>3.89</v>
      </c>
      <c r="E58" s="146">
        <f>AIRFLOW!E26</f>
        <v>18912</v>
      </c>
      <c r="F58" s="74">
        <f>25.4*AIRFLOW!F26</f>
        <v>85.65585628588593</v>
      </c>
      <c r="G58" s="75">
        <f>AIRFLOW!G26*0.472</f>
        <v>45.36758413245839</v>
      </c>
      <c r="H58" s="74">
        <f>AIRFLOW!H26</f>
        <v>876.0010722049748</v>
      </c>
      <c r="I58" s="75">
        <f>AIRFLOW!I26</f>
        <v>38.03863255033006</v>
      </c>
      <c r="J58" s="76">
        <f>AIRFLOW!J26</f>
        <v>0.05099012406210463</v>
      </c>
      <c r="K58" s="77">
        <f>AIRFLOW!K26</f>
        <v>4.342304336977961</v>
      </c>
      <c r="L58" s="5"/>
      <c r="M58" s="5"/>
      <c r="BO58" s="19"/>
      <c r="BP58" s="19"/>
      <c r="BQ58" s="19"/>
    </row>
    <row r="59" spans="1:69" ht="15.75">
      <c r="A59" s="73">
        <f>AIRFLOW!A27*25.4</f>
        <v>38.099999999999994</v>
      </c>
      <c r="B59" s="143">
        <f>AIRFLOW!B27*25.4</f>
        <v>243.58599999999998</v>
      </c>
      <c r="C59" s="144">
        <f>AIRFLOW!C27</f>
        <v>852.3</v>
      </c>
      <c r="D59" s="145">
        <f>AIRFLOW!D27</f>
        <v>3.9</v>
      </c>
      <c r="E59" s="146">
        <f>AIRFLOW!E27</f>
        <v>18776</v>
      </c>
      <c r="F59" s="74">
        <f>25.4*AIRFLOW!F27</f>
        <v>254.31568476211953</v>
      </c>
      <c r="G59" s="75">
        <f>AIRFLOW!G27*0.472</f>
        <v>43.15879598595599</v>
      </c>
      <c r="H59" s="74">
        <f>AIRFLOW!H27</f>
        <v>880.4430587739387</v>
      </c>
      <c r="I59" s="75">
        <f>AIRFLOW!I27</f>
        <v>107.43966566264899</v>
      </c>
      <c r="J59" s="76">
        <f>AIRFLOW!J27</f>
        <v>0.14402099954778685</v>
      </c>
      <c r="K59" s="77">
        <f>AIRFLOW!K27</f>
        <v>12.202909045846093</v>
      </c>
      <c r="L59" s="5"/>
      <c r="M59" s="5"/>
      <c r="BA59" s="16"/>
      <c r="BB59" s="16"/>
      <c r="BC59" s="16"/>
      <c r="BO59" s="19"/>
      <c r="BP59" s="19"/>
      <c r="BQ59" s="19"/>
    </row>
    <row r="60" spans="1:69" ht="15.75">
      <c r="A60" s="73">
        <f>AIRFLOW!A28*25.4</f>
        <v>31.75</v>
      </c>
      <c r="B60" s="143">
        <f>AIRFLOW!B28*25.4</f>
        <v>432.562</v>
      </c>
      <c r="C60" s="144">
        <f>AIRFLOW!C28</f>
        <v>854.5</v>
      </c>
      <c r="D60" s="145">
        <f>AIRFLOW!D28</f>
        <v>3.91</v>
      </c>
      <c r="E60" s="146">
        <f>AIRFLOW!E28</f>
        <v>18602</v>
      </c>
      <c r="F60" s="74">
        <f>25.4*AIRFLOW!F28</f>
        <v>451.6158614701664</v>
      </c>
      <c r="G60" s="75">
        <f>AIRFLOW!G28*0.472</f>
        <v>39.992560113776726</v>
      </c>
      <c r="H60" s="74">
        <f>AIRFLOW!H28</f>
        <v>882.7157030650366</v>
      </c>
      <c r="I60" s="75">
        <f>AIRFLOW!I28</f>
        <v>176.79524275039682</v>
      </c>
      <c r="J60" s="76">
        <f>AIRFLOW!J28</f>
        <v>0.23699094202466062</v>
      </c>
      <c r="K60" s="77">
        <f>AIRFLOW!K28</f>
        <v>20.028559833762348</v>
      </c>
      <c r="L60" s="5"/>
      <c r="M60" s="5"/>
      <c r="BO60" s="19"/>
      <c r="BP60" s="19"/>
      <c r="BQ60" s="19"/>
    </row>
    <row r="61" spans="1:69" ht="15.75">
      <c r="A61" s="73">
        <f>AIRFLOW!A29*25.4</f>
        <v>25.4</v>
      </c>
      <c r="B61" s="143">
        <f>AIRFLOW!B29*25.4</f>
        <v>757.9359999999999</v>
      </c>
      <c r="C61" s="144">
        <f>AIRFLOW!C29</f>
        <v>862.3</v>
      </c>
      <c r="D61" s="145">
        <f>AIRFLOW!D29</f>
        <v>3.95</v>
      </c>
      <c r="E61" s="146">
        <f>AIRFLOW!E29</f>
        <v>18516</v>
      </c>
      <c r="F61" s="74">
        <f>25.4*AIRFLOW!F29</f>
        <v>791.322214108618</v>
      </c>
      <c r="G61" s="75">
        <f>AIRFLOW!G29*0.472</f>
        <v>33.66533433817458</v>
      </c>
      <c r="H61" s="74">
        <f>AIRFLOW!H29</f>
        <v>890.7732600971106</v>
      </c>
      <c r="I61" s="75">
        <f>AIRFLOW!I29</f>
        <v>260.770506895312</v>
      </c>
      <c r="J61" s="76">
        <f>AIRFLOW!J29</f>
        <v>0.34955832023500266</v>
      </c>
      <c r="K61" s="77">
        <f>AIRFLOW!K29</f>
        <v>29.27462223853501</v>
      </c>
      <c r="L61" s="5"/>
      <c r="M61" s="5"/>
      <c r="BO61" s="19"/>
      <c r="BP61" s="19"/>
      <c r="BQ61" s="19"/>
    </row>
    <row r="62" spans="1:69" ht="15.75">
      <c r="A62" s="73">
        <f>AIRFLOW!A30*25.4</f>
        <v>22.224999999999998</v>
      </c>
      <c r="B62" s="143">
        <f>AIRFLOW!B30*25.4</f>
        <v>964.184</v>
      </c>
      <c r="C62" s="144">
        <f>AIRFLOW!C30</f>
        <v>857.4</v>
      </c>
      <c r="D62" s="145">
        <f>AIRFLOW!D30</f>
        <v>3.92</v>
      </c>
      <c r="E62" s="146">
        <f>AIRFLOW!E30</f>
        <v>18533</v>
      </c>
      <c r="F62" s="74">
        <f>25.4*AIRFLOW!F30</f>
        <v>1006.6552026663251</v>
      </c>
      <c r="G62" s="75">
        <f>AIRFLOW!G30*0.472</f>
        <v>28.973860706562668</v>
      </c>
      <c r="H62" s="74">
        <f>AIRFLOW!H30</f>
        <v>885.7114614487564</v>
      </c>
      <c r="I62" s="75">
        <f>AIRFLOW!I30</f>
        <v>285.50209021287844</v>
      </c>
      <c r="J62" s="76">
        <f>AIRFLOW!J30</f>
        <v>0.38271057669286657</v>
      </c>
      <c r="K62" s="77">
        <f>AIRFLOW!K30</f>
        <v>32.23420974432049</v>
      </c>
      <c r="L62" s="5"/>
      <c r="M62" s="5"/>
      <c r="BO62" s="19"/>
      <c r="BP62" s="19"/>
      <c r="BQ62" s="19"/>
    </row>
    <row r="63" spans="1:69" ht="15.75">
      <c r="A63" s="73">
        <f>AIRFLOW!A31*25.4</f>
        <v>19.049999999999997</v>
      </c>
      <c r="B63" s="143">
        <f>AIRFLOW!B31*25.4</f>
        <v>1170.4319999999998</v>
      </c>
      <c r="C63" s="144">
        <f>AIRFLOW!C31</f>
        <v>843.1</v>
      </c>
      <c r="D63" s="145">
        <f>AIRFLOW!D31</f>
        <v>3.81</v>
      </c>
      <c r="E63" s="146">
        <f>AIRFLOW!E31</f>
        <v>18870</v>
      </c>
      <c r="F63" s="74">
        <f>25.4*AIRFLOW!F31</f>
        <v>1221.988191224032</v>
      </c>
      <c r="G63" s="75">
        <f>AIRFLOW!G31*0.472</f>
        <v>23.386249798440787</v>
      </c>
      <c r="H63" s="74">
        <f>AIRFLOW!H31</f>
        <v>870.9392735566206</v>
      </c>
      <c r="I63" s="75">
        <f>AIRFLOW!I31</f>
        <v>279.7369111903766</v>
      </c>
      <c r="J63" s="76">
        <f>AIRFLOW!J31</f>
        <v>0.374982454678789</v>
      </c>
      <c r="K63" s="77">
        <f>AIRFLOW!K31</f>
        <v>32.11899149386454</v>
      </c>
      <c r="L63" s="5"/>
      <c r="M63" s="5"/>
      <c r="BO63" s="19"/>
      <c r="BP63" s="19"/>
      <c r="BQ63" s="19"/>
    </row>
    <row r="64" spans="1:69" ht="15.75">
      <c r="A64" s="73">
        <f>AIRFLOW!A32*25.4</f>
        <v>15.875</v>
      </c>
      <c r="B64" s="143">
        <f>AIRFLOW!B32*25.4</f>
        <v>1367.028</v>
      </c>
      <c r="C64" s="144">
        <f>AIRFLOW!C32</f>
        <v>808.8</v>
      </c>
      <c r="D64" s="145">
        <f>AIRFLOW!D32</f>
        <v>3.69</v>
      </c>
      <c r="E64" s="146">
        <f>AIRFLOW!E32</f>
        <v>19430</v>
      </c>
      <c r="F64" s="74">
        <f>25.4*AIRFLOW!F32</f>
        <v>1427.2440202186938</v>
      </c>
      <c r="G64" s="75">
        <f>AIRFLOW!G32*0.472</f>
        <v>17.502762563683767</v>
      </c>
      <c r="H64" s="74">
        <f>AIRFLOW!H32</f>
        <v>835.506683018141</v>
      </c>
      <c r="I64" s="75">
        <f>AIRFLOW!I32</f>
        <v>244.52711010402177</v>
      </c>
      <c r="J64" s="76">
        <f>AIRFLOW!J32</f>
        <v>0.32778432989815254</v>
      </c>
      <c r="K64" s="77">
        <f>AIRFLOW!K32</f>
        <v>29.266924499120073</v>
      </c>
      <c r="L64" s="5"/>
      <c r="M64" s="5"/>
      <c r="BD64" s="3" t="s">
        <v>30</v>
      </c>
      <c r="BE64" s="8">
        <f aca="true" t="shared" si="2" ref="BE64:BK64">BB120^2</f>
        <v>9089.061051364033</v>
      </c>
      <c r="BF64" s="8">
        <f t="shared" si="2"/>
        <v>7866.699081605215</v>
      </c>
      <c r="BG64" s="8">
        <f t="shared" si="2"/>
        <v>5506.406532402785</v>
      </c>
      <c r="BH64" s="8">
        <f t="shared" si="2"/>
        <v>4014.167475105458</v>
      </c>
      <c r="BI64" s="8">
        <f t="shared" si="2"/>
        <v>2550.4693959247547</v>
      </c>
      <c r="BJ64" s="8">
        <f t="shared" si="2"/>
        <v>1427.8807665482946</v>
      </c>
      <c r="BK64" s="8">
        <f t="shared" si="2"/>
        <v>663.0790001656495</v>
      </c>
      <c r="BO64" s="19"/>
      <c r="BP64" s="19"/>
      <c r="BQ64" s="19"/>
    </row>
    <row r="65" spans="1:69" ht="15.75">
      <c r="A65" s="73">
        <f>AIRFLOW!A33*25.4</f>
        <v>12.7</v>
      </c>
      <c r="B65" s="143">
        <f>AIRFLOW!B33*25.4</f>
        <v>1558.29</v>
      </c>
      <c r="C65" s="144">
        <f>AIRFLOW!C33</f>
        <v>764.5</v>
      </c>
      <c r="D65" s="145">
        <f>AIRFLOW!D33</f>
        <v>3.47</v>
      </c>
      <c r="E65" s="146">
        <f>AIRFLOW!E33</f>
        <v>20223</v>
      </c>
      <c r="F65" s="74">
        <f>25.4*AIRFLOW!F33</f>
        <v>1626.9308926127253</v>
      </c>
      <c r="G65" s="75">
        <f>AIRFLOW!G33*0.472</f>
        <v>11.906580474979709</v>
      </c>
      <c r="H65" s="74">
        <f>AIRFLOW!H33</f>
        <v>789.7438911564897</v>
      </c>
      <c r="I65" s="75">
        <f>AIRFLOW!I33</f>
        <v>189.61746631931055</v>
      </c>
      <c r="J65" s="76">
        <f>AIRFLOW!J33</f>
        <v>0.2541789092752152</v>
      </c>
      <c r="K65" s="77">
        <f>AIRFLOW!K33</f>
        <v>24.00999468848533</v>
      </c>
      <c r="L65" s="5"/>
      <c r="M65" s="5"/>
      <c r="BD65" s="3" t="s">
        <v>31</v>
      </c>
      <c r="BE65" s="8">
        <f aca="true" t="shared" si="3" ref="BE65:BK65">BB120^3</f>
        <v>866519.879988746</v>
      </c>
      <c r="BF65" s="8">
        <f t="shared" si="3"/>
        <v>697732.2654589544</v>
      </c>
      <c r="BG65" s="8">
        <f t="shared" si="3"/>
        <v>408603.80602589576</v>
      </c>
      <c r="BH65" s="8">
        <f t="shared" si="3"/>
        <v>254327.4469201671</v>
      </c>
      <c r="BI65" s="8">
        <f t="shared" si="3"/>
        <v>128804.24459872999</v>
      </c>
      <c r="BJ65" s="8">
        <f t="shared" si="3"/>
        <v>53955.77259257197</v>
      </c>
      <c r="BK65" s="8">
        <f t="shared" si="3"/>
        <v>17074.496697863084</v>
      </c>
      <c r="BO65" s="19"/>
      <c r="BP65" s="19"/>
      <c r="BQ65" s="19"/>
    </row>
    <row r="66" spans="1:69" ht="15.75">
      <c r="A66" s="73">
        <f>AIRFLOW!A34*25.4</f>
        <v>9.524999999999999</v>
      </c>
      <c r="B66" s="143">
        <f>AIRFLOW!B34*25.4</f>
        <v>1737.6139999999998</v>
      </c>
      <c r="C66" s="144">
        <f>AIRFLOW!C34</f>
        <v>716.9</v>
      </c>
      <c r="D66" s="145">
        <f>AIRFLOW!D34</f>
        <v>3.22</v>
      </c>
      <c r="E66" s="146">
        <f>AIRFLOW!E34</f>
        <v>21152</v>
      </c>
      <c r="F66" s="74">
        <f>25.4*AIRFLOW!F34</f>
        <v>1814.1539097577263</v>
      </c>
      <c r="G66" s="75">
        <f>AIRFLOW!G34*0.472</f>
        <v>7.135232782652688</v>
      </c>
      <c r="H66" s="74">
        <f>AIRFLOW!H34</f>
        <v>740.5721328581915</v>
      </c>
      <c r="I66" s="75">
        <f>AIRFLOW!I34</f>
        <v>126.70812290736767</v>
      </c>
      <c r="J66" s="76">
        <f>AIRFLOW!J34</f>
        <v>0.16985003070692717</v>
      </c>
      <c r="K66" s="77">
        <f>AIRFLOW!K34</f>
        <v>17.10949106582578</v>
      </c>
      <c r="L66" s="5"/>
      <c r="M66" s="5"/>
      <c r="BD66" s="3" t="s">
        <v>32</v>
      </c>
      <c r="BE66" s="8">
        <f aca="true" t="shared" si="4" ref="BE66:BK66">BB120^4</f>
        <v>82611030.79542266</v>
      </c>
      <c r="BF66" s="8">
        <f t="shared" si="4"/>
        <v>61884954.44052833</v>
      </c>
      <c r="BG66" s="8">
        <f t="shared" si="4"/>
        <v>30320512.900088064</v>
      </c>
      <c r="BH66" s="8">
        <f t="shared" si="4"/>
        <v>16113540.518194526</v>
      </c>
      <c r="BI66" s="8">
        <f t="shared" si="4"/>
        <v>6504894.139548783</v>
      </c>
      <c r="BJ66" s="8">
        <f t="shared" si="4"/>
        <v>2038843.4834785452</v>
      </c>
      <c r="BK66" s="8">
        <f t="shared" si="4"/>
        <v>439673.76046067744</v>
      </c>
      <c r="BO66" s="19"/>
      <c r="BP66" s="19"/>
      <c r="BQ66" s="19"/>
    </row>
    <row r="67" spans="1:69" ht="15.75">
      <c r="A67" s="73">
        <f>AIRFLOW!A35*25.4</f>
        <v>6.35</v>
      </c>
      <c r="B67" s="143">
        <f>AIRFLOW!B35*25.4</f>
        <v>1897.888</v>
      </c>
      <c r="C67" s="144">
        <f>AIRFLOW!C35</f>
        <v>691.9</v>
      </c>
      <c r="D67" s="145">
        <f>AIRFLOW!D35</f>
        <v>3.11</v>
      </c>
      <c r="E67" s="146">
        <f>AIRFLOW!E35</f>
        <v>22011</v>
      </c>
      <c r="F67" s="74">
        <f>25.4*AIRFLOW!F35</f>
        <v>1981.487796186191</v>
      </c>
      <c r="G67" s="75">
        <f>AIRFLOW!G35*0.472</f>
        <v>3.4550782659896195</v>
      </c>
      <c r="H67" s="74">
        <f>AIRFLOW!H35</f>
        <v>714.7466295502618</v>
      </c>
      <c r="I67" s="75">
        <f>AIRFLOW!I35</f>
        <v>67.01491535372261</v>
      </c>
      <c r="J67" s="76">
        <f>AIRFLOW!J35</f>
        <v>0.08983232621142441</v>
      </c>
      <c r="K67" s="77">
        <f>AIRFLOW!K35</f>
        <v>9.37603796689328</v>
      </c>
      <c r="L67" s="5"/>
      <c r="M67" s="5"/>
      <c r="BD67" s="3" t="s">
        <v>33</v>
      </c>
      <c r="BE67" s="8">
        <f aca="true" t="shared" si="5" ref="BE67:BK67">BB120^5</f>
        <v>7875852091.438348</v>
      </c>
      <c r="BF67" s="8">
        <f t="shared" si="5"/>
        <v>5488849771.8922825</v>
      </c>
      <c r="BG67" s="8">
        <f t="shared" si="5"/>
        <v>2249938666.6656327</v>
      </c>
      <c r="BH67" s="8">
        <f t="shared" si="5"/>
        <v>1020912965.4535445</v>
      </c>
      <c r="BI67" s="8">
        <f t="shared" si="5"/>
        <v>328511283.91426724</v>
      </c>
      <c r="BJ67" s="8">
        <f t="shared" si="5"/>
        <v>77042409.92918712</v>
      </c>
      <c r="BK67" s="8">
        <f t="shared" si="5"/>
        <v>11321740.198750736</v>
      </c>
      <c r="BO67" s="19"/>
      <c r="BP67" s="19"/>
      <c r="BQ67" s="19"/>
    </row>
    <row r="68" spans="1:69" ht="15.75">
      <c r="A68" s="73">
        <f>AIRFLOW!A36*25.4</f>
        <v>0</v>
      </c>
      <c r="B68" s="143">
        <f>AIRFLOW!B36*25.4</f>
        <v>2082.292</v>
      </c>
      <c r="C68" s="144">
        <f>AIRFLOW!C36</f>
        <v>666.1</v>
      </c>
      <c r="D68" s="145">
        <f>AIRFLOW!D36</f>
        <v>2.98</v>
      </c>
      <c r="E68" s="146">
        <f>AIRFLOW!E36</f>
        <v>22776</v>
      </c>
      <c r="F68" s="74">
        <f>25.4*AIRFLOW!F36</f>
        <v>2174.014581522269</v>
      </c>
      <c r="G68" s="75">
        <f>AIRFLOW!G36*0.472</f>
        <v>0</v>
      </c>
      <c r="H68" s="74">
        <f>AIRFLOW!H36</f>
        <v>688.0947101364785</v>
      </c>
      <c r="I68" s="75">
        <f>AIRFLOW!I36</f>
        <v>0</v>
      </c>
      <c r="J68" s="76">
        <f>AIRFLOW!J36</f>
        <v>0</v>
      </c>
      <c r="K68" s="77">
        <f>AIRFLOW!K36</f>
        <v>0</v>
      </c>
      <c r="L68" s="5"/>
      <c r="M68" s="5"/>
      <c r="BD68" s="3" t="s">
        <v>34</v>
      </c>
      <c r="BE68" s="8">
        <f aca="true" t="shared" si="6" ref="BE68:BK68">BB120^6</f>
        <v>750856702415.7108</v>
      </c>
      <c r="BF68" s="8">
        <f t="shared" si="6"/>
        <v>486830314262.4848</v>
      </c>
      <c r="BG68" s="8">
        <f t="shared" si="6"/>
        <v>166957070298.84784</v>
      </c>
      <c r="BH68" s="8">
        <f t="shared" si="6"/>
        <v>64682450256.93041</v>
      </c>
      <c r="BI68" s="8">
        <f t="shared" si="6"/>
        <v>16590533426.649462</v>
      </c>
      <c r="BJ68" s="8">
        <f t="shared" si="6"/>
        <v>2911225396.0613403</v>
      </c>
      <c r="BK68" s="8">
        <f t="shared" si="6"/>
        <v>291538437.48533726</v>
      </c>
      <c r="BO68" s="19"/>
      <c r="BP68" s="19"/>
      <c r="BQ68" s="19"/>
    </row>
    <row r="69" spans="1:63" ht="23.25">
      <c r="A69" s="5"/>
      <c r="B69" s="130"/>
      <c r="C69" s="147"/>
      <c r="D69" s="132"/>
      <c r="E69" s="133"/>
      <c r="F69" s="131" t="s">
        <v>99</v>
      </c>
      <c r="G69" s="134">
        <f>G37</f>
        <v>288.63</v>
      </c>
      <c r="H69" s="135"/>
      <c r="I69" s="136"/>
      <c r="J69" s="137"/>
      <c r="K69" s="5"/>
      <c r="L69" s="5"/>
      <c r="M69" s="5"/>
      <c r="BD69" s="3" t="s">
        <v>35</v>
      </c>
      <c r="BE69" s="8">
        <f aca="true" t="shared" si="7" ref="BE69:BK69">BB120*BB121</f>
        <v>11645.079986883691</v>
      </c>
      <c r="BF69" s="8">
        <f t="shared" si="7"/>
        <v>18064.234287005165</v>
      </c>
      <c r="BG69" s="8">
        <f t="shared" si="7"/>
        <v>21880.4580672811</v>
      </c>
      <c r="BH69" s="8">
        <f t="shared" si="7"/>
        <v>19926.130299367942</v>
      </c>
      <c r="BI69" s="8">
        <f t="shared" si="7"/>
        <v>14980.952911581131</v>
      </c>
      <c r="BJ69" s="8">
        <f t="shared" si="7"/>
        <v>9792.302340513044</v>
      </c>
      <c r="BK69" s="8">
        <f t="shared" si="7"/>
        <v>5199.900083432414</v>
      </c>
    </row>
    <row r="70" spans="1:63" ht="15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BD70" s="3" t="s">
        <v>36</v>
      </c>
      <c r="BE70" s="8">
        <f aca="true" t="shared" si="8" ref="BE70:BK70">BE64*BB121</f>
        <v>1110201.9510782636</v>
      </c>
      <c r="BF70" s="8">
        <f t="shared" si="8"/>
        <v>1602196.675137288</v>
      </c>
      <c r="BG70" s="8">
        <f t="shared" si="8"/>
        <v>1623643.0040663572</v>
      </c>
      <c r="BH70" s="8">
        <f t="shared" si="8"/>
        <v>1262468.9621111776</v>
      </c>
      <c r="BI70" s="8">
        <f t="shared" si="8"/>
        <v>756570.6635133765</v>
      </c>
      <c r="BJ70" s="8">
        <f t="shared" si="8"/>
        <v>370024.76020434714</v>
      </c>
      <c r="BK70" s="8">
        <f t="shared" si="8"/>
        <v>133899.09314215108</v>
      </c>
    </row>
    <row r="71" spans="1:63" ht="15.75">
      <c r="A71" s="176"/>
      <c r="B71" s="176"/>
      <c r="C71" s="176"/>
      <c r="D71" s="176"/>
      <c r="E71" s="177"/>
      <c r="F71" s="69" t="s">
        <v>11</v>
      </c>
      <c r="G71" s="55" t="s">
        <v>12</v>
      </c>
      <c r="H71" s="55" t="s">
        <v>11</v>
      </c>
      <c r="I71" s="120"/>
      <c r="J71" s="120"/>
      <c r="K71" s="121"/>
      <c r="L71" s="5"/>
      <c r="M71" s="5"/>
      <c r="BD71" s="3" t="s">
        <v>37</v>
      </c>
      <c r="BE71" s="8">
        <f aca="true" t="shared" si="9" ref="BE71:BK71">BE65*BB121</f>
        <v>105842842.94880334</v>
      </c>
      <c r="BF71" s="8">
        <f t="shared" si="9"/>
        <v>142105895.27548495</v>
      </c>
      <c r="BG71" s="8">
        <f t="shared" si="9"/>
        <v>120482697.23364186</v>
      </c>
      <c r="BH71" s="8">
        <f t="shared" si="9"/>
        <v>79986824.15243617</v>
      </c>
      <c r="BI71" s="8">
        <f t="shared" si="9"/>
        <v>38208461.92277752</v>
      </c>
      <c r="BJ71" s="8">
        <f t="shared" si="9"/>
        <v>13982240.172244426</v>
      </c>
      <c r="BK71" s="8">
        <f t="shared" si="9"/>
        <v>3447944.5482836426</v>
      </c>
    </row>
    <row r="72" spans="1:13" ht="15.75">
      <c r="A72" s="57" t="s">
        <v>13</v>
      </c>
      <c r="B72" s="56" t="s">
        <v>14</v>
      </c>
      <c r="C72" s="56" t="s">
        <v>15</v>
      </c>
      <c r="D72" s="141"/>
      <c r="E72" s="142"/>
      <c r="F72" s="56" t="s">
        <v>14</v>
      </c>
      <c r="G72" s="56" t="s">
        <v>16</v>
      </c>
      <c r="H72" s="56" t="s">
        <v>15</v>
      </c>
      <c r="I72" s="56" t="s">
        <v>12</v>
      </c>
      <c r="J72" s="56"/>
      <c r="K72" s="62" t="s">
        <v>85</v>
      </c>
      <c r="L72" s="5"/>
      <c r="M72" s="5"/>
    </row>
    <row r="73" spans="1:13" ht="15.75">
      <c r="A73" s="64" t="s">
        <v>95</v>
      </c>
      <c r="B73" s="58" t="s">
        <v>104</v>
      </c>
      <c r="C73" s="56" t="s">
        <v>20</v>
      </c>
      <c r="D73" s="56" t="s">
        <v>19</v>
      </c>
      <c r="E73" s="59" t="s">
        <v>21</v>
      </c>
      <c r="F73" s="58" t="s">
        <v>104</v>
      </c>
      <c r="G73" s="65" t="s">
        <v>103</v>
      </c>
      <c r="H73" s="56" t="s">
        <v>20</v>
      </c>
      <c r="I73" s="56" t="s">
        <v>20</v>
      </c>
      <c r="J73" s="56" t="s">
        <v>23</v>
      </c>
      <c r="K73" s="63" t="s">
        <v>86</v>
      </c>
      <c r="L73" s="5"/>
      <c r="M73" s="5"/>
    </row>
    <row r="74" spans="1:58" ht="15.75">
      <c r="A74" s="78">
        <f>AIRFLOW!A26*25.4</f>
        <v>50.8</v>
      </c>
      <c r="B74" s="148">
        <f>AIRFLOW!B26*(0.07355)/(0.2952998)</f>
        <v>0.8044925868557988</v>
      </c>
      <c r="C74" s="144">
        <f>AIRFLOW!C26</f>
        <v>848</v>
      </c>
      <c r="D74" s="145">
        <f>AIRFLOW!D26</f>
        <v>3.89</v>
      </c>
      <c r="E74" s="149">
        <f>AIRFLOW!E26</f>
        <v>18912</v>
      </c>
      <c r="F74" s="80">
        <f>AIRFLOW!F26*(0.07355/0.2952998)</f>
        <v>0.8399295653784759</v>
      </c>
      <c r="G74" s="80">
        <f>AIRFLOW!G26*0.472*(0.001*3600)</f>
        <v>163.32330287685022</v>
      </c>
      <c r="H74" s="79">
        <f>AIRFLOW!H26</f>
        <v>876.0010722049748</v>
      </c>
      <c r="I74" s="81">
        <f>AIRFLOW!I26</f>
        <v>38.03863255033006</v>
      </c>
      <c r="J74" s="82">
        <f>AIRFLOW!J26</f>
        <v>0.05099012406210463</v>
      </c>
      <c r="K74" s="80">
        <f>AIRFLOW!K26</f>
        <v>4.342304336977961</v>
      </c>
      <c r="L74" s="5"/>
      <c r="M74" s="5"/>
      <c r="BD74" s="3" t="s">
        <v>38</v>
      </c>
      <c r="BE74" s="8">
        <f>COUNT(BE64:BK64)</f>
        <v>7</v>
      </c>
      <c r="BF74" t="s">
        <v>92</v>
      </c>
    </row>
    <row r="75" spans="1:57" ht="15.75">
      <c r="A75" s="78">
        <f>AIRFLOW!A27*25.4</f>
        <v>38.099999999999994</v>
      </c>
      <c r="B75" s="148">
        <f>AIRFLOW!B27*(0.07355)/(0.2952998)</f>
        <v>2.3885708693334706</v>
      </c>
      <c r="C75" s="144">
        <f>AIRFLOW!C27</f>
        <v>852.3</v>
      </c>
      <c r="D75" s="145">
        <f>AIRFLOW!D27</f>
        <v>3.9</v>
      </c>
      <c r="E75" s="149">
        <f>AIRFLOW!E27</f>
        <v>18776</v>
      </c>
      <c r="F75" s="80">
        <f>AIRFLOW!F27*(0.07355/0.2952998)</f>
        <v>2.4937846848234</v>
      </c>
      <c r="G75" s="80">
        <f>AIRFLOW!G27*0.472*(0.001*3600)</f>
        <v>155.37166554944156</v>
      </c>
      <c r="H75" s="79">
        <f>AIRFLOW!H27</f>
        <v>880.4430587739387</v>
      </c>
      <c r="I75" s="81">
        <f>AIRFLOW!I27</f>
        <v>107.43966566264899</v>
      </c>
      <c r="J75" s="82">
        <f>AIRFLOW!J27</f>
        <v>0.14402099954778685</v>
      </c>
      <c r="K75" s="80">
        <f>AIRFLOW!K27</f>
        <v>12.202909045846093</v>
      </c>
      <c r="L75" s="5"/>
      <c r="M75" s="5"/>
      <c r="BD75" s="3" t="s">
        <v>39</v>
      </c>
      <c r="BE75" s="8">
        <f>SUM(BB120:BH120)</f>
        <v>435.6334065064931</v>
      </c>
    </row>
    <row r="76" spans="1:58" ht="15.75">
      <c r="A76" s="78">
        <f>AIRFLOW!A28*25.4</f>
        <v>31.75</v>
      </c>
      <c r="B76" s="148">
        <f>AIRFLOW!B28*(0.07355)/(0.2952998)</f>
        <v>4.241643577137539</v>
      </c>
      <c r="C76" s="144">
        <f>AIRFLOW!C28</f>
        <v>854.5</v>
      </c>
      <c r="D76" s="145">
        <f>AIRFLOW!D28</f>
        <v>3.91</v>
      </c>
      <c r="E76" s="149">
        <f>AIRFLOW!E28</f>
        <v>18602</v>
      </c>
      <c r="F76" s="80">
        <f>AIRFLOW!F28*(0.07355/0.2952998)</f>
        <v>4.428483126438218</v>
      </c>
      <c r="G76" s="80">
        <f>AIRFLOW!G28*0.472*(0.001*3600)</f>
        <v>143.9732164095962</v>
      </c>
      <c r="H76" s="79">
        <f>AIRFLOW!H28</f>
        <v>882.7157030650366</v>
      </c>
      <c r="I76" s="81">
        <f>AIRFLOW!I28</f>
        <v>176.79524275039682</v>
      </c>
      <c r="J76" s="82">
        <f>AIRFLOW!J28</f>
        <v>0.23699094202466062</v>
      </c>
      <c r="K76" s="80">
        <f>AIRFLOW!K28</f>
        <v>20.028559833762348</v>
      </c>
      <c r="L76" s="5"/>
      <c r="M76" s="5"/>
      <c r="BD76" s="3" t="s">
        <v>40</v>
      </c>
      <c r="BE76" s="8">
        <f>SUM(BB121:BH121)</f>
        <v>1692.9006859762515</v>
      </c>
      <c r="BF76" t="s">
        <v>92</v>
      </c>
    </row>
    <row r="77" spans="1:58" ht="15.75">
      <c r="A77" s="78">
        <f>AIRFLOW!A29*25.4</f>
        <v>25.4</v>
      </c>
      <c r="B77" s="148">
        <f>AIRFLOW!B29*(0.07355)/(0.2952998)</f>
        <v>7.432216344203416</v>
      </c>
      <c r="C77" s="144">
        <f>AIRFLOW!C29</f>
        <v>862.3</v>
      </c>
      <c r="D77" s="145">
        <f>AIRFLOW!D29</f>
        <v>3.95</v>
      </c>
      <c r="E77" s="149">
        <f>AIRFLOW!E29</f>
        <v>18516</v>
      </c>
      <c r="F77" s="80">
        <f>AIRFLOW!F29*(0.07355/0.2952998)</f>
        <v>7.759596975508892</v>
      </c>
      <c r="G77" s="80">
        <f>AIRFLOW!G29*0.472*(0.001*3600)</f>
        <v>121.19520361742849</v>
      </c>
      <c r="H77" s="79">
        <f>AIRFLOW!H29</f>
        <v>890.7732600971106</v>
      </c>
      <c r="I77" s="81">
        <f>AIRFLOW!I29</f>
        <v>260.770506895312</v>
      </c>
      <c r="J77" s="82">
        <f>AIRFLOW!J29</f>
        <v>0.34955832023500266</v>
      </c>
      <c r="K77" s="80">
        <f>AIRFLOW!K29</f>
        <v>29.27462223853501</v>
      </c>
      <c r="L77" s="5"/>
      <c r="M77" s="5"/>
      <c r="BD77" s="3" t="s">
        <v>41</v>
      </c>
      <c r="BE77" s="8">
        <f aca="true" t="shared" si="10" ref="BE77:BE84">SUM(BE64:BK64)</f>
        <v>31117.76330311619</v>
      </c>
      <c r="BF77" t="s">
        <v>92</v>
      </c>
    </row>
    <row r="78" spans="1:57" ht="15.75">
      <c r="A78" s="78">
        <f>AIRFLOW!A30*25.4</f>
        <v>22.224999999999998</v>
      </c>
      <c r="B78" s="148">
        <f>AIRFLOW!B30*(0.07355)/(0.2952998)</f>
        <v>9.45465591239818</v>
      </c>
      <c r="C78" s="144">
        <f>AIRFLOW!C30</f>
        <v>857.4</v>
      </c>
      <c r="D78" s="145">
        <f>AIRFLOW!D30</f>
        <v>3.92</v>
      </c>
      <c r="E78" s="149">
        <f>AIRFLOW!E30</f>
        <v>18533</v>
      </c>
      <c r="F78" s="80">
        <f>AIRFLOW!F30*(0.07355/0.2952998)</f>
        <v>9.871122694045493</v>
      </c>
      <c r="G78" s="80">
        <f>AIRFLOW!G30*0.472*(0.001*3600)</f>
        <v>104.3058985436256</v>
      </c>
      <c r="H78" s="79">
        <f>AIRFLOW!H30</f>
        <v>885.7114614487564</v>
      </c>
      <c r="I78" s="81">
        <f>AIRFLOW!I30</f>
        <v>285.50209021287844</v>
      </c>
      <c r="J78" s="82">
        <f>AIRFLOW!J30</f>
        <v>0.38271057669286657</v>
      </c>
      <c r="K78" s="80">
        <f>AIRFLOW!K30</f>
        <v>32.23420974432049</v>
      </c>
      <c r="L78" s="5"/>
      <c r="M78" s="5"/>
      <c r="BD78" s="3" t="s">
        <v>42</v>
      </c>
      <c r="BE78" s="8">
        <f t="shared" si="10"/>
        <v>2427017.9122829284</v>
      </c>
    </row>
    <row r="79" spans="1:57" ht="15.75">
      <c r="A79" s="78">
        <f>AIRFLOW!A31*25.4</f>
        <v>19.049999999999997</v>
      </c>
      <c r="B79" s="148">
        <f>AIRFLOW!B31*(0.07355)/(0.2952998)</f>
        <v>11.477095480592943</v>
      </c>
      <c r="C79" s="144">
        <f>AIRFLOW!C31</f>
        <v>843.1</v>
      </c>
      <c r="D79" s="145">
        <f>AIRFLOW!D31</f>
        <v>3.81</v>
      </c>
      <c r="E79" s="149">
        <f>AIRFLOW!E31</f>
        <v>18870</v>
      </c>
      <c r="F79" s="80">
        <f>AIRFLOW!F31*(0.07355/0.2952998)</f>
        <v>11.982648412582094</v>
      </c>
      <c r="G79" s="80">
        <f>AIRFLOW!G31*0.472*(0.001*3600)</f>
        <v>84.19049927438684</v>
      </c>
      <c r="H79" s="79">
        <f>AIRFLOW!H31</f>
        <v>870.9392735566206</v>
      </c>
      <c r="I79" s="81">
        <f>AIRFLOW!I31</f>
        <v>279.7369111903766</v>
      </c>
      <c r="J79" s="82">
        <f>AIRFLOW!J31</f>
        <v>0.374982454678789</v>
      </c>
      <c r="K79" s="80">
        <f>AIRFLOW!K31</f>
        <v>32.11899149386454</v>
      </c>
      <c r="L79" s="5"/>
      <c r="M79" s="5"/>
      <c r="BD79" s="3" t="s">
        <v>43</v>
      </c>
      <c r="BE79" s="8">
        <f t="shared" si="10"/>
        <v>199913450.0377216</v>
      </c>
    </row>
    <row r="80" spans="1:57" ht="15.75">
      <c r="A80" s="78">
        <f>AIRFLOW!A32*25.4</f>
        <v>15.875</v>
      </c>
      <c r="B80" s="148">
        <f>AIRFLOW!B32*(0.07355)/(0.2952998)</f>
        <v>13.40488886209879</v>
      </c>
      <c r="C80" s="144">
        <f>AIRFLOW!C32</f>
        <v>808.8</v>
      </c>
      <c r="D80" s="145">
        <f>AIRFLOW!D32</f>
        <v>3.69</v>
      </c>
      <c r="E80" s="149">
        <f>AIRFLOW!E32</f>
        <v>19430</v>
      </c>
      <c r="F80" s="80">
        <f>AIRFLOW!F32*(0.07355/0.2952998)</f>
        <v>13.995358888132994</v>
      </c>
      <c r="G80" s="80">
        <f>AIRFLOW!G32*0.472*(0.001*3600)</f>
        <v>63.00994522926156</v>
      </c>
      <c r="H80" s="79">
        <f>AIRFLOW!H32</f>
        <v>835.506683018141</v>
      </c>
      <c r="I80" s="81">
        <f>AIRFLOW!I32</f>
        <v>244.52711010402177</v>
      </c>
      <c r="J80" s="82">
        <f>AIRFLOW!J32</f>
        <v>0.32778432989815254</v>
      </c>
      <c r="K80" s="80">
        <f>AIRFLOW!K32</f>
        <v>29.266924499120073</v>
      </c>
      <c r="L80" s="5"/>
      <c r="M80" s="5"/>
      <c r="BD80" s="3" t="s">
        <v>44</v>
      </c>
      <c r="BE80" s="8">
        <f t="shared" si="10"/>
        <v>17052428929.492014</v>
      </c>
    </row>
    <row r="81" spans="1:57" ht="15.75">
      <c r="A81" s="78">
        <f>AIRFLOW!A33*25.4</f>
        <v>12.7</v>
      </c>
      <c r="B81" s="148">
        <f>AIRFLOW!B33*(0.07355)/(0.2952998)</f>
        <v>15.280377772013392</v>
      </c>
      <c r="C81" s="144">
        <f>AIRFLOW!C33</f>
        <v>764.5</v>
      </c>
      <c r="D81" s="145">
        <f>AIRFLOW!D33</f>
        <v>3.47</v>
      </c>
      <c r="E81" s="149">
        <f>AIRFLOW!E33</f>
        <v>20223</v>
      </c>
      <c r="F81" s="80">
        <f>AIRFLOW!F33*(0.07355/0.2952998)</f>
        <v>15.953460939928636</v>
      </c>
      <c r="G81" s="80">
        <f>AIRFLOW!G33*0.472*(0.001*3600)</f>
        <v>42.86368970992695</v>
      </c>
      <c r="H81" s="79">
        <f>AIRFLOW!H33</f>
        <v>789.7438911564897</v>
      </c>
      <c r="I81" s="81">
        <f>AIRFLOW!I33</f>
        <v>189.61746631931055</v>
      </c>
      <c r="J81" s="82">
        <f>AIRFLOW!J33</f>
        <v>0.2541789092752152</v>
      </c>
      <c r="K81" s="80">
        <f>AIRFLOW!K33</f>
        <v>24.00999468848533</v>
      </c>
      <c r="L81" s="5"/>
      <c r="M81" s="5"/>
      <c r="BD81" s="3" t="s">
        <v>45</v>
      </c>
      <c r="BE81" s="8">
        <f t="shared" si="10"/>
        <v>1489119834494.17</v>
      </c>
    </row>
    <row r="82" spans="1:57" ht="15.75">
      <c r="A82" s="78">
        <f>AIRFLOW!A34*25.4</f>
        <v>9.524999999999999</v>
      </c>
      <c r="B82" s="148">
        <f>AIRFLOW!B34*(0.07355)/(0.2952998)</f>
        <v>17.038804293128543</v>
      </c>
      <c r="C82" s="144">
        <f>AIRFLOW!C34</f>
        <v>716.9</v>
      </c>
      <c r="D82" s="145">
        <f>AIRFLOW!D34</f>
        <v>3.22</v>
      </c>
      <c r="E82" s="149">
        <f>AIRFLOW!E34</f>
        <v>21152</v>
      </c>
      <c r="F82" s="80">
        <f>AIRFLOW!F34*(0.07355/0.2952998)</f>
        <v>17.789344138557748</v>
      </c>
      <c r="G82" s="80">
        <f>AIRFLOW!G34*0.472*(0.001*3600)</f>
        <v>25.686838017549675</v>
      </c>
      <c r="H82" s="79">
        <f>AIRFLOW!H34</f>
        <v>740.5721328581915</v>
      </c>
      <c r="I82" s="81">
        <f>AIRFLOW!I34</f>
        <v>126.70812290736767</v>
      </c>
      <c r="J82" s="82">
        <f>AIRFLOW!J34</f>
        <v>0.16985003070692717</v>
      </c>
      <c r="K82" s="80">
        <f>AIRFLOW!K34</f>
        <v>17.10949106582578</v>
      </c>
      <c r="L82" s="5"/>
      <c r="M82" s="5"/>
      <c r="BD82" s="3" t="s">
        <v>46</v>
      </c>
      <c r="BE82" s="8">
        <f t="shared" si="10"/>
        <v>101489.05797606448</v>
      </c>
    </row>
    <row r="83" spans="1:58" ht="15.75">
      <c r="A83" s="78">
        <f>AIRFLOW!A35*25.4</f>
        <v>6.35</v>
      </c>
      <c r="B83" s="148">
        <f>AIRFLOW!B35*(0.07355)/(0.2952998)</f>
        <v>18.610429129989253</v>
      </c>
      <c r="C83" s="144">
        <f>AIRFLOW!C35</f>
        <v>691.9</v>
      </c>
      <c r="D83" s="145">
        <f>AIRFLOW!D35</f>
        <v>3.11</v>
      </c>
      <c r="E83" s="149">
        <f>AIRFLOW!E35</f>
        <v>22011</v>
      </c>
      <c r="F83" s="80">
        <f>AIRFLOW!F35*(0.07355/0.2952998)</f>
        <v>19.43019725234666</v>
      </c>
      <c r="G83" s="80">
        <f>AIRFLOW!G35*0.472*(0.001*3600)</f>
        <v>12.438281757562631</v>
      </c>
      <c r="H83" s="79">
        <f>AIRFLOW!H35</f>
        <v>714.7466295502618</v>
      </c>
      <c r="I83" s="81">
        <f>AIRFLOW!I35</f>
        <v>67.01491535372261</v>
      </c>
      <c r="J83" s="82">
        <f>AIRFLOW!J35</f>
        <v>0.08983232621142441</v>
      </c>
      <c r="K83" s="80">
        <f>AIRFLOW!K35</f>
        <v>9.37603796689328</v>
      </c>
      <c r="L83" s="5"/>
      <c r="M83" s="5"/>
      <c r="BD83" s="3" t="s">
        <v>47</v>
      </c>
      <c r="BE83" s="8">
        <f t="shared" si="10"/>
        <v>6859005.10925296</v>
      </c>
      <c r="BF83" t="s">
        <v>92</v>
      </c>
    </row>
    <row r="84" spans="1:57" ht="15.75">
      <c r="A84" s="78">
        <f>AIRFLOW!A36*25.4</f>
        <v>0</v>
      </c>
      <c r="B84" s="148">
        <f>AIRFLOW!B36*(0.07355)/(0.2952998)</f>
        <v>20.41866943357226</v>
      </c>
      <c r="C84" s="144">
        <f>AIRFLOW!C36</f>
        <v>666.1</v>
      </c>
      <c r="D84" s="145">
        <f>AIRFLOW!D36</f>
        <v>2.98</v>
      </c>
      <c r="E84" s="149">
        <f>AIRFLOW!E36</f>
        <v>22776</v>
      </c>
      <c r="F84" s="80">
        <f>AIRFLOW!F36*(0.07355/0.2952998)</f>
        <v>21.31808847359983</v>
      </c>
      <c r="G84" s="80">
        <f>AIRFLOW!G36*0.472*(0.001*3600)</f>
        <v>0</v>
      </c>
      <c r="H84" s="79">
        <f>AIRFLOW!H36</f>
        <v>688.0947101364785</v>
      </c>
      <c r="I84" s="81">
        <f>AIRFLOW!I36</f>
        <v>0</v>
      </c>
      <c r="J84" s="82">
        <f>AIRFLOW!J36</f>
        <v>0</v>
      </c>
      <c r="K84" s="80">
        <f>AIRFLOW!K36</f>
        <v>0</v>
      </c>
      <c r="L84" s="5"/>
      <c r="M84" s="5"/>
      <c r="BD84" s="3" t="s">
        <v>48</v>
      </c>
      <c r="BE84" s="8">
        <f t="shared" si="10"/>
        <v>504056906.25367194</v>
      </c>
    </row>
    <row r="85" spans="1:13" ht="23.25">
      <c r="A85" s="5"/>
      <c r="B85" s="130"/>
      <c r="C85" s="147"/>
      <c r="D85" s="132"/>
      <c r="E85" s="133"/>
      <c r="F85" s="131" t="s">
        <v>99</v>
      </c>
      <c r="G85" s="134">
        <f>G37</f>
        <v>288.63</v>
      </c>
      <c r="H85" s="135"/>
      <c r="I85" s="136"/>
      <c r="J85" s="137"/>
      <c r="K85" s="5"/>
      <c r="L85" s="5"/>
      <c r="M85" s="5"/>
    </row>
    <row r="86" spans="1:60" ht="16.5" thickBo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BD86" s="3" t="s">
        <v>49</v>
      </c>
      <c r="BE86" s="8">
        <f>(BE75*BE76/BE74)-BE82</f>
        <v>3865.812410937433</v>
      </c>
      <c r="BG86" s="3" t="s">
        <v>50</v>
      </c>
      <c r="BH86" s="5">
        <f>(BE86*BE91/BE87)-BE90</f>
        <v>-193413.66383955593</v>
      </c>
    </row>
    <row r="87" spans="1:60" ht="15.75">
      <c r="A87" s="161" t="str">
        <f>"Standard performance data is typical for a motor from a large production quantity.  An individual motor's performance will vary due to normal manufacturing variations.  Test standards @ "&amp;TEXT(B7,"0")&amp;" volts, corrected to standard atmospheric conditions:  Minimum sealed vacuum = "&amp;TEXT(C99,"0.00")&amp;" "&amp;D99&amp;", "&amp;TEXT(C100,"0")&amp;" "&amp;D100&amp;" or "&amp;TEXT(C101,"0.00")&amp;" "&amp;D101&amp;", Maximum open watts = "&amp;TEXT(C102,"0")&amp;" watts."</f>
        <v>Standard performance data is typical for a motor from a large production quantity.  An individual motor's performance will vary due to normal manufacturing variations.  Test standards @ 220 volts, corrected to standard atmospheric conditions:  Minimum sealed vacuum = 77.03 in H2O, 1957 mm H2O or 19.19 kPa, Maximum open watts = 990 watts.</v>
      </c>
      <c r="B87" s="162"/>
      <c r="C87" s="162"/>
      <c r="D87" s="162"/>
      <c r="E87" s="162"/>
      <c r="F87" s="162"/>
      <c r="G87" s="162"/>
      <c r="H87" s="162"/>
      <c r="I87" s="162"/>
      <c r="J87" s="162"/>
      <c r="K87" s="163"/>
      <c r="L87" s="5"/>
      <c r="M87" s="5"/>
      <c r="BD87" s="3" t="s">
        <v>51</v>
      </c>
      <c r="BE87" s="8">
        <f>(BE75*BE75/BE74)-BE77</f>
        <v>-4006.839751051695</v>
      </c>
      <c r="BG87" s="3" t="s">
        <v>52</v>
      </c>
      <c r="BH87" s="5">
        <f>(BE88*BE91/BE87)-BE92</f>
        <v>1548725.2594476938</v>
      </c>
    </row>
    <row r="88" spans="1:60" ht="15.75">
      <c r="A88" s="164"/>
      <c r="B88" s="165"/>
      <c r="C88" s="165"/>
      <c r="D88" s="165"/>
      <c r="E88" s="165"/>
      <c r="F88" s="165"/>
      <c r="G88" s="165"/>
      <c r="H88" s="165"/>
      <c r="I88" s="165"/>
      <c r="J88" s="165"/>
      <c r="K88" s="166"/>
      <c r="L88" s="5"/>
      <c r="M88" s="5"/>
      <c r="BD88" s="3" t="s">
        <v>53</v>
      </c>
      <c r="BE88" s="8">
        <f>(BE75*BE77/BE74)-BE78</f>
        <v>-490455.4507687499</v>
      </c>
      <c r="BG88" s="3" t="s">
        <v>54</v>
      </c>
      <c r="BH88" s="5">
        <f>(BE89*BE91/BE87)-BE93</f>
        <v>281219426.87905407</v>
      </c>
    </row>
    <row r="89" spans="1:60" ht="16.5" thickBot="1">
      <c r="A89" s="167"/>
      <c r="B89" s="168"/>
      <c r="C89" s="168"/>
      <c r="D89" s="168"/>
      <c r="E89" s="168"/>
      <c r="F89" s="168"/>
      <c r="G89" s="168"/>
      <c r="H89" s="168"/>
      <c r="I89" s="168"/>
      <c r="J89" s="168"/>
      <c r="K89" s="169"/>
      <c r="L89" s="5"/>
      <c r="M89" s="5"/>
      <c r="BD89" s="3" t="s">
        <v>55</v>
      </c>
      <c r="BE89" s="8">
        <f>(BE75*BE78/BE74)-BE79</f>
        <v>-48872009.92628029</v>
      </c>
      <c r="BG89" s="3" t="s">
        <v>56</v>
      </c>
      <c r="BH89" s="5">
        <f>(BE86*BE95/BE87)-BE94</f>
        <v>-35748398.97736872</v>
      </c>
    </row>
    <row r="90" spans="56:60" ht="15.75" hidden="1">
      <c r="BD90" s="3" t="s">
        <v>57</v>
      </c>
      <c r="BE90" s="8">
        <f>(BE76*BE77/BE74)-BE83</f>
        <v>666606.7253030427</v>
      </c>
      <c r="BF90" t="s">
        <v>92</v>
      </c>
      <c r="BG90" s="3" t="s">
        <v>58</v>
      </c>
      <c r="BH90" s="5">
        <f>(BE88*BE95/BE87)-BE96</f>
        <v>281219426.87905407</v>
      </c>
    </row>
    <row r="91" spans="56:60" ht="15.75" hidden="1">
      <c r="BD91" s="3" t="s">
        <v>59</v>
      </c>
      <c r="BE91" s="8">
        <f>(BE75*BE77/BE74)-BE78</f>
        <v>-490455.4507687499</v>
      </c>
      <c r="BG91" s="3" t="s">
        <v>60</v>
      </c>
      <c r="BH91" s="5">
        <f>(BE89*BE95/BE87)-BE97</f>
        <v>51532795842.08325</v>
      </c>
    </row>
    <row r="92" spans="56:57" ht="15.75" hidden="1">
      <c r="BD92" s="3" t="s">
        <v>61</v>
      </c>
      <c r="BE92" s="8">
        <f>(BE77*BE77/BE74)-BE79</f>
        <v>-61582708.1821838</v>
      </c>
    </row>
    <row r="93" spans="56:57" ht="15.75" hidden="1">
      <c r="BD93" s="3" t="s">
        <v>62</v>
      </c>
      <c r="BE93" s="8">
        <f>(BE77*BE78/BE74)-BE80</f>
        <v>-6263376225.657248</v>
      </c>
    </row>
    <row r="94" spans="56:57" ht="15.75" hidden="1">
      <c r="BD94" s="3" t="s">
        <v>63</v>
      </c>
      <c r="BE94" s="8">
        <f>(BE76*BE78/BE74)-BE84</f>
        <v>82900277.82924503</v>
      </c>
    </row>
    <row r="95" spans="56:57" ht="15.75" hidden="1">
      <c r="BD95" s="3" t="s">
        <v>64</v>
      </c>
      <c r="BE95" s="8">
        <f>(BE75*BE78/BE74)-BE79</f>
        <v>-48872009.92628029</v>
      </c>
    </row>
    <row r="96" spans="1:57" ht="15.75" hidden="1">
      <c r="A96" s="170" t="s">
        <v>105</v>
      </c>
      <c r="B96" s="170"/>
      <c r="C96" s="170"/>
      <c r="D96">
        <v>0.9</v>
      </c>
      <c r="BD96" s="3" t="s">
        <v>65</v>
      </c>
      <c r="BE96" s="8">
        <f>(BE77*BE78/BE74)-BE80</f>
        <v>-6263376225.657248</v>
      </c>
    </row>
    <row r="97" spans="1:57" ht="15.75" hidden="1">
      <c r="A97" s="171" t="s">
        <v>106</v>
      </c>
      <c r="B97" s="171"/>
      <c r="C97" s="171"/>
      <c r="D97">
        <v>1.13</v>
      </c>
      <c r="BD97" s="3" t="s">
        <v>66</v>
      </c>
      <c r="BE97" s="8">
        <f>(BE78*BE78/BE74)-BE81</f>
        <v>-647631842131.0007</v>
      </c>
    </row>
    <row r="98" ht="15.75" hidden="1"/>
    <row r="99" spans="1:57" ht="17.25" hidden="1">
      <c r="A99" s="171" t="s">
        <v>107</v>
      </c>
      <c r="B99" s="171"/>
      <c r="C99">
        <f>F36*D96</f>
        <v>77.03201273110403</v>
      </c>
      <c r="D99" s="90" t="s">
        <v>108</v>
      </c>
      <c r="BD99" s="3" t="s">
        <v>67</v>
      </c>
      <c r="BE99" s="5">
        <f>((BH86*BH90/BH87)-BH89)/((BH88*BH90/BH87)-BH91)</f>
        <v>-0.0013403144217504427</v>
      </c>
    </row>
    <row r="100" spans="3:57" ht="17.25" hidden="1">
      <c r="C100">
        <f>F68*D96</f>
        <v>1956.613123370042</v>
      </c>
      <c r="D100" s="91" t="s">
        <v>109</v>
      </c>
      <c r="BD100" s="3" t="s">
        <v>68</v>
      </c>
      <c r="BE100" s="5">
        <f>(BH86-BH88*BE99)/BH87</f>
        <v>0.11849021546163535</v>
      </c>
    </row>
    <row r="101" spans="3:57" ht="15.75" hidden="1">
      <c r="C101">
        <f>F84*D96</f>
        <v>19.18627962623985</v>
      </c>
      <c r="D101" s="91" t="s">
        <v>112</v>
      </c>
      <c r="BD101" s="3" t="s">
        <v>69</v>
      </c>
      <c r="BE101" s="5">
        <f>(BE86-BE88*BE100-BE89*BE99)/BE87</f>
        <v>0.8794649889203158</v>
      </c>
    </row>
    <row r="102" spans="1:57" ht="15.75" hidden="1">
      <c r="A102" s="171" t="s">
        <v>110</v>
      </c>
      <c r="B102" s="171"/>
      <c r="C102">
        <f>H74*D97</f>
        <v>989.8812115916214</v>
      </c>
      <c r="D102" t="s">
        <v>111</v>
      </c>
      <c r="BD102" s="3" t="s">
        <v>70</v>
      </c>
      <c r="BE102" s="5">
        <f>(BE76-BE75*BE101-BE77*BE100-BE78*BE99)/BE74</f>
        <v>125.08471259410746</v>
      </c>
    </row>
    <row r="103" ht="15.75" hidden="1">
      <c r="A103" s="34"/>
    </row>
    <row r="104" spans="1:58" ht="15.75" hidden="1">
      <c r="A104" s="34"/>
      <c r="BD104" s="1" t="s">
        <v>71</v>
      </c>
      <c r="BE104" s="8">
        <f>(1/(6*$BE$99))*(-2*$BE$100-SQRT((4*$BE$100^2-12*$BE$101*$BE$99)))</f>
        <v>62.43945716192635</v>
      </c>
      <c r="BF104" s="8">
        <f>(1/(6*$BE$99))*(-2*$BE$100+SQRT((4*$BE$100^2-12*$BE$101*$BE$99)))</f>
        <v>-3.5029302600830174</v>
      </c>
    </row>
    <row r="105" spans="1:58" ht="15.75" hidden="1">
      <c r="A105" s="34"/>
      <c r="BD105" s="1" t="s">
        <v>72</v>
      </c>
      <c r="BE105" s="8">
        <f>$BE$102+$BE$101*BE104+$BE$100*BE104^2+$BE$99*BE104^3</f>
        <v>315.67896416958484</v>
      </c>
      <c r="BF105" s="8">
        <f>$BE$102+$BE$101*BF104+$BE$100*BF104^2+$BE$99*BF104^3</f>
        <v>123.5155551148099</v>
      </c>
    </row>
    <row r="106" ht="15.75" hidden="1">
      <c r="A106" s="34"/>
    </row>
    <row r="107" spans="1:63" ht="15.75" hidden="1">
      <c r="A107" s="34"/>
      <c r="BD107" s="1" t="s">
        <v>73</v>
      </c>
      <c r="BE107" s="8">
        <f aca="true" t="shared" si="11" ref="BE107:BK107">$BE$102+$BE$101*BB120+$BE$100*BB120^2+$BE$99*BB120^3</f>
        <v>124.4855960751986</v>
      </c>
      <c r="BF107" s="8">
        <f t="shared" si="11"/>
        <v>200.03459568963956</v>
      </c>
      <c r="BG107" s="8">
        <f t="shared" si="11"/>
        <v>295.1432797706882</v>
      </c>
      <c r="BH107" s="8">
        <f t="shared" si="11"/>
        <v>315.5662026990894</v>
      </c>
      <c r="BI107" s="8">
        <f t="shared" si="11"/>
        <v>299.06708653286177</v>
      </c>
      <c r="BJ107" s="8">
        <f t="shared" si="11"/>
        <v>255.18952794911914</v>
      </c>
      <c r="BK107" s="8">
        <f t="shared" si="11"/>
        <v>203.41439725965506</v>
      </c>
    </row>
    <row r="108" spans="1:63" ht="15.75" hidden="1">
      <c r="A108" s="34"/>
      <c r="H108" s="2">
        <v>26</v>
      </c>
      <c r="I108" s="2"/>
      <c r="J108" s="2"/>
      <c r="BD108" s="1" t="s">
        <v>74</v>
      </c>
      <c r="BE108" s="5">
        <f aca="true" t="shared" si="12" ref="BE108:BK108">(BB121-BE107)^2</f>
        <v>5.4688201898501125</v>
      </c>
      <c r="BF108" s="5">
        <f t="shared" si="12"/>
        <v>13.203295755550299</v>
      </c>
      <c r="BG108" s="5">
        <f t="shared" si="12"/>
        <v>0.07779968402387935</v>
      </c>
      <c r="BH108" s="5">
        <f t="shared" si="12"/>
        <v>1.1297386146538417</v>
      </c>
      <c r="BI108" s="5">
        <f t="shared" si="12"/>
        <v>5.891849344519773</v>
      </c>
      <c r="BJ108" s="5">
        <f t="shared" si="12"/>
        <v>15.626921887097156</v>
      </c>
      <c r="BK108" s="5">
        <f t="shared" si="12"/>
        <v>2.1875666720911364</v>
      </c>
    </row>
    <row r="109" spans="1:63" ht="15.75" hidden="1">
      <c r="A109" s="34"/>
      <c r="H109" s="2">
        <f>H110+1</f>
        <v>27</v>
      </c>
      <c r="I109" s="2"/>
      <c r="J109" s="2"/>
      <c r="BD109" s="1" t="s">
        <v>75</v>
      </c>
      <c r="BE109" s="5">
        <f aca="true" t="shared" si="13" ref="BE109:BK109">(BB121-AVERAGE($BB$121:$BH$121))^2</f>
        <v>14327.110855927142</v>
      </c>
      <c r="BF109" s="5">
        <f t="shared" si="13"/>
        <v>1457.3096662204953</v>
      </c>
      <c r="BG109" s="5">
        <f t="shared" si="13"/>
        <v>2811.268718409722</v>
      </c>
      <c r="BH109" s="5">
        <f t="shared" si="13"/>
        <v>5279.527323988642</v>
      </c>
      <c r="BI109" s="5">
        <f t="shared" si="13"/>
        <v>3002.6912847156404</v>
      </c>
      <c r="BJ109" s="5">
        <f t="shared" si="13"/>
        <v>299.27833918751827</v>
      </c>
      <c r="BK109" s="5">
        <f t="shared" si="13"/>
        <v>1592.6165668680605</v>
      </c>
    </row>
    <row r="110" spans="1:10" ht="15.75" hidden="1">
      <c r="A110" s="34"/>
      <c r="H110" s="2">
        <v>26</v>
      </c>
      <c r="I110" s="2"/>
      <c r="J110" s="2"/>
    </row>
    <row r="111" spans="1:57" ht="15.75" hidden="1">
      <c r="A111" s="34"/>
      <c r="H111" s="38" t="str">
        <f>FIXED(H110,0,TRUE)</f>
        <v>26</v>
      </c>
      <c r="I111" s="2"/>
      <c r="J111" s="2"/>
      <c r="BD111" s="1" t="s">
        <v>76</v>
      </c>
      <c r="BE111" s="5">
        <f>1-(SUM(BE108:BK108))/(SUM(BE109:BK109))</f>
        <v>0.9984850090034166</v>
      </c>
    </row>
    <row r="112" spans="1:57" ht="15.75" hidden="1">
      <c r="A112" s="34"/>
      <c r="H112" s="2" t="str">
        <f>"aa"&amp;$H$111</f>
        <v>aa26</v>
      </c>
      <c r="I112" s="2" t="str">
        <f>"ab"&amp;$H$111</f>
        <v>ab26</v>
      </c>
      <c r="J112" s="2" t="str">
        <f>"ac"&amp;$H$111</f>
        <v>ac26</v>
      </c>
      <c r="BD112" s="1" t="s">
        <v>77</v>
      </c>
      <c r="BE112" s="5">
        <f>SQRT(MAX(BE108:BK108))</f>
        <v>3.95309016936082</v>
      </c>
    </row>
    <row r="113" ht="15.75" hidden="1">
      <c r="A113" s="34"/>
    </row>
    <row r="114" spans="1:81" ht="15.75" hidden="1">
      <c r="A114" s="34"/>
      <c r="BE114" s="11">
        <f>BB120</f>
        <v>95.33656723085866</v>
      </c>
      <c r="BF114" s="11">
        <f>(BE114+BG114)/2</f>
        <v>93.67602893273002</v>
      </c>
      <c r="BG114" s="11">
        <f>(BE114+BI114)/2</f>
        <v>92.01549063460139</v>
      </c>
      <c r="BH114" s="11">
        <f>(BG114+BI114)/2</f>
        <v>90.35495233647276</v>
      </c>
      <c r="BI114" s="11">
        <f>BC120</f>
        <v>88.69441403834412</v>
      </c>
      <c r="BJ114" s="11">
        <f>(BI114+BK114)/2</f>
        <v>85.07210181198617</v>
      </c>
      <c r="BK114" s="11">
        <f>(BI114+BM114)/2</f>
        <v>81.44978958562822</v>
      </c>
      <c r="BL114" s="11">
        <f>(BK114+BM114)/2</f>
        <v>77.82747735927026</v>
      </c>
      <c r="BM114" s="11">
        <f>BD120</f>
        <v>74.20516513291231</v>
      </c>
      <c r="BN114" s="11">
        <f>(BM114+BO114)/2</f>
        <v>71.49323833169838</v>
      </c>
      <c r="BO114" s="11">
        <f>(BM114+BQ114)/2</f>
        <v>68.78131153048444</v>
      </c>
      <c r="BP114" s="11">
        <f>(BO114+BQ114)/2</f>
        <v>66.06938472927051</v>
      </c>
      <c r="BQ114" s="11">
        <f>BE120</f>
        <v>63.35745792805657</v>
      </c>
      <c r="BR114" s="11">
        <f>(BQ114+BS114)/2</f>
        <v>60.14363649358289</v>
      </c>
      <c r="BS114" s="11">
        <f>(BQ114+BU114)/2</f>
        <v>56.9298150591092</v>
      </c>
      <c r="BT114" s="11">
        <f>(BS114+BU114)/2</f>
        <v>53.715993624635516</v>
      </c>
      <c r="BU114" s="11">
        <f>BF120</f>
        <v>50.50217219016183</v>
      </c>
      <c r="BV114" s="11">
        <f>(BU114+BW114)/2</f>
        <v>47.32345654176805</v>
      </c>
      <c r="BW114" s="11">
        <f>(BU114+BY114)/2</f>
        <v>44.144740893374276</v>
      </c>
      <c r="BX114" s="11">
        <f>(BW114+BY114)/2</f>
        <v>40.9660252449805</v>
      </c>
      <c r="BY114" s="5">
        <f>BG120</f>
        <v>37.78730959658672</v>
      </c>
      <c r="BZ114" s="11">
        <f>(BY114+CA114)/2</f>
        <v>34.77806229483324</v>
      </c>
      <c r="CA114" s="11">
        <f>(BY114+CC114)/2</f>
        <v>31.768814993079765</v>
      </c>
      <c r="CB114" s="11">
        <f>(CA114+CC114)/2</f>
        <v>28.75956769132629</v>
      </c>
      <c r="CC114" s="5">
        <f>BH120</f>
        <v>25.750320389572817</v>
      </c>
    </row>
    <row r="115" spans="1:81" ht="15.75" hidden="1">
      <c r="A115" s="34"/>
      <c r="BE115" s="8">
        <f aca="true" t="shared" si="14" ref="BE115:CC115">$BE$102+$BE$101*BE114+$BE$100*BE114^2+$BE$99*BE114^3</f>
        <v>124.4855960751986</v>
      </c>
      <c r="BF115" s="8">
        <f t="shared" si="14"/>
        <v>145.47169618842395</v>
      </c>
      <c r="BG115" s="8">
        <f t="shared" si="14"/>
        <v>165.0340149836304</v>
      </c>
      <c r="BH115" s="8">
        <f t="shared" si="14"/>
        <v>183.20937422823079</v>
      </c>
      <c r="BI115" s="8">
        <f t="shared" si="14"/>
        <v>200.03459568963956</v>
      </c>
      <c r="BJ115" s="8">
        <f t="shared" si="14"/>
        <v>232.23041742261478</v>
      </c>
      <c r="BK115" s="8">
        <f t="shared" si="14"/>
        <v>258.5589907358409</v>
      </c>
      <c r="BL115" s="8">
        <f t="shared" si="14"/>
        <v>279.4025375462288</v>
      </c>
      <c r="BM115" s="8">
        <f t="shared" si="14"/>
        <v>295.1432797706882</v>
      </c>
      <c r="BN115" s="8">
        <f t="shared" si="14"/>
        <v>303.8169300517365</v>
      </c>
      <c r="BO115" s="8">
        <f t="shared" si="14"/>
        <v>310.00503705283194</v>
      </c>
      <c r="BP115" s="8">
        <f t="shared" si="14"/>
        <v>313.8679961449557</v>
      </c>
      <c r="BQ115" s="8">
        <f t="shared" si="14"/>
        <v>315.5662026990894</v>
      </c>
      <c r="BR115" s="8">
        <f t="shared" si="14"/>
        <v>314.9964061402125</v>
      </c>
      <c r="BS115" s="8">
        <f t="shared" si="14"/>
        <v>311.87865736110376</v>
      </c>
      <c r="BT115" s="8">
        <f t="shared" si="14"/>
        <v>306.479902209431</v>
      </c>
      <c r="BU115" s="8">
        <f t="shared" si="14"/>
        <v>299.06708653286177</v>
      </c>
      <c r="BV115" s="8">
        <f t="shared" si="14"/>
        <v>290.01569540847606</v>
      </c>
      <c r="BW115" s="8">
        <f t="shared" si="14"/>
        <v>279.51344313326433</v>
      </c>
      <c r="BX115" s="8">
        <f t="shared" si="14"/>
        <v>267.8186229119157</v>
      </c>
      <c r="BY115" s="8">
        <f t="shared" si="14"/>
        <v>255.18952794911914</v>
      </c>
      <c r="BZ115" s="8">
        <f t="shared" si="14"/>
        <v>242.60662034878536</v>
      </c>
      <c r="CA115" s="8">
        <f t="shared" si="14"/>
        <v>229.63703269568754</v>
      </c>
      <c r="CB115" s="8">
        <f t="shared" si="14"/>
        <v>216.49990999693946</v>
      </c>
      <c r="CC115" s="8">
        <f t="shared" si="14"/>
        <v>203.41439725965506</v>
      </c>
    </row>
    <row r="116" spans="1:81" ht="15.75" hidden="1">
      <c r="A116" s="1"/>
      <c r="BE116" s="11">
        <f>BB121</f>
        <v>122.14704520129183</v>
      </c>
      <c r="BI116" s="11">
        <f>BC121</f>
        <v>203.66822964967878</v>
      </c>
      <c r="BM116" s="11">
        <f>BD121</f>
        <v>294.8643538234838</v>
      </c>
      <c r="BQ116" s="11">
        <f>BE121</f>
        <v>314.5033110702514</v>
      </c>
      <c r="BU116" s="11">
        <f>BF121</f>
        <v>296.6397733382946</v>
      </c>
      <c r="BY116" s="5">
        <f>BG121</f>
        <v>259.14261811847996</v>
      </c>
      <c r="CC116" s="5">
        <f>BH121</f>
        <v>201.9353547747713</v>
      </c>
    </row>
    <row r="117" ht="15.75" hidden="1">
      <c r="A117" s="34"/>
    </row>
    <row r="118" ht="15.75" hidden="1">
      <c r="A118" s="34"/>
    </row>
    <row r="119" spans="1:61" ht="17.25" hidden="1">
      <c r="A119" s="34"/>
      <c r="BA119" s="20" t="s">
        <v>26</v>
      </c>
      <c r="BB119" s="21" t="s">
        <v>79</v>
      </c>
      <c r="BC119" s="21" t="s">
        <v>80</v>
      </c>
      <c r="BD119" s="21" t="s">
        <v>81</v>
      </c>
      <c r="BE119" s="22" t="s">
        <v>27</v>
      </c>
      <c r="BF119" s="21" t="s">
        <v>82</v>
      </c>
      <c r="BG119" s="21" t="s">
        <v>83</v>
      </c>
      <c r="BH119" s="24" t="s">
        <v>84</v>
      </c>
      <c r="BI119" s="14"/>
    </row>
    <row r="120" spans="1:61" ht="19.5" hidden="1">
      <c r="A120" s="34"/>
      <c r="BA120" s="20" t="s">
        <v>28</v>
      </c>
      <c r="BB120" s="66">
        <v>95.33656723085866</v>
      </c>
      <c r="BC120" s="66">
        <v>88.69441403834412</v>
      </c>
      <c r="BD120" s="66">
        <v>74.20516513291231</v>
      </c>
      <c r="BE120" s="66">
        <v>63.35745792805657</v>
      </c>
      <c r="BF120" s="66">
        <v>50.50217219016183</v>
      </c>
      <c r="BG120" s="66">
        <v>37.78730959658672</v>
      </c>
      <c r="BH120" s="66">
        <v>25.750320389572817</v>
      </c>
      <c r="BI120" s="14"/>
    </row>
    <row r="121" spans="1:61" ht="19.5" hidden="1">
      <c r="A121" s="34"/>
      <c r="BA121" s="20" t="s">
        <v>29</v>
      </c>
      <c r="BB121" s="60">
        <v>122.14704520129183</v>
      </c>
      <c r="BC121" s="60">
        <v>203.66822964967878</v>
      </c>
      <c r="BD121" s="60">
        <v>294.8643538234838</v>
      </c>
      <c r="BE121" s="60">
        <v>314.5033110702514</v>
      </c>
      <c r="BF121" s="60">
        <v>296.6397733382946</v>
      </c>
      <c r="BG121" s="60">
        <v>259.14261811847996</v>
      </c>
      <c r="BH121" s="60">
        <v>201.9353547747713</v>
      </c>
      <c r="BI121" s="14"/>
    </row>
    <row r="122" spans="1:61" ht="15.75" hidden="1">
      <c r="A122" s="34"/>
      <c r="BA122" s="14"/>
      <c r="BI122" s="14"/>
    </row>
    <row r="123" spans="1:64" ht="15.75" hidden="1">
      <c r="A123" s="34"/>
      <c r="BB123" s="45"/>
      <c r="BC123" s="45"/>
      <c r="BD123" s="45"/>
      <c r="BE123" s="45"/>
      <c r="BF123" s="51"/>
      <c r="BG123" s="2"/>
      <c r="BH123" s="51"/>
      <c r="BJ123" s="29"/>
      <c r="BL123" s="29"/>
    </row>
    <row r="124" spans="1:63" ht="18" hidden="1">
      <c r="A124" s="34"/>
      <c r="BB124" s="49"/>
      <c r="BC124" s="50" t="s">
        <v>88</v>
      </c>
      <c r="BD124" s="53"/>
      <c r="BE124" s="45"/>
      <c r="BF124" s="52"/>
      <c r="BG124" s="50" t="s">
        <v>93</v>
      </c>
      <c r="BH124" s="54"/>
      <c r="BK124" s="44" t="s">
        <v>87</v>
      </c>
    </row>
    <row r="125" spans="1:64" ht="19.5" hidden="1">
      <c r="A125" s="34"/>
      <c r="BB125" s="175">
        <f>IF(ISERR(+$BE$105),"",+$BE$105)</f>
        <v>315.67896416958484</v>
      </c>
      <c r="BC125" s="175"/>
      <c r="BD125" s="175"/>
      <c r="BF125" s="157">
        <f>IF(ISERR(+$BE$111),"",+$BE$111)</f>
        <v>0.9984850090034166</v>
      </c>
      <c r="BG125" s="157"/>
      <c r="BH125" s="157"/>
      <c r="BJ125" s="158">
        <f>IF(ISERR(+$BE$112),"",+$BE$112)</f>
        <v>3.95309016936082</v>
      </c>
      <c r="BK125" s="158"/>
      <c r="BL125" s="158"/>
    </row>
    <row r="126" ht="15.75" hidden="1">
      <c r="A126" s="34"/>
    </row>
    <row r="127" ht="15.75" hidden="1">
      <c r="A127" s="34"/>
    </row>
    <row r="128" spans="1:54" ht="15.75" hidden="1">
      <c r="A128" s="34"/>
      <c r="BB128" s="15"/>
    </row>
    <row r="129" ht="15.75" hidden="1">
      <c r="A129" s="1"/>
    </row>
    <row r="130" ht="15.75" hidden="1">
      <c r="A130" s="1"/>
    </row>
    <row r="131" ht="15.75" hidden="1">
      <c r="A131" s="34"/>
    </row>
    <row r="132" ht="15.75" hidden="1">
      <c r="A132" s="1"/>
    </row>
    <row r="133" ht="15.75" hidden="1">
      <c r="A133" s="34"/>
    </row>
    <row r="134" ht="15.75" hidden="1">
      <c r="A134" s="1"/>
    </row>
    <row r="135" ht="15.75" hidden="1">
      <c r="A135" s="34"/>
    </row>
    <row r="136" ht="15.75" hidden="1">
      <c r="A136" s="1"/>
    </row>
    <row r="137" ht="15.75" hidden="1">
      <c r="A137" s="34"/>
    </row>
    <row r="138" ht="15.75" hidden="1">
      <c r="A138" s="1"/>
    </row>
    <row r="139" ht="15.75" hidden="1">
      <c r="A139" s="34"/>
    </row>
    <row r="140" ht="15.75" hidden="1">
      <c r="A140" s="1"/>
    </row>
    <row r="141" ht="15.75" hidden="1">
      <c r="A141" s="34"/>
    </row>
    <row r="142" ht="15.75" hidden="1">
      <c r="A142" s="1"/>
    </row>
    <row r="143" ht="15.75" hidden="1">
      <c r="A143" s="34"/>
    </row>
    <row r="144" ht="15.75" hidden="1">
      <c r="A144" s="1"/>
    </row>
    <row r="145" spans="1:53" ht="15.75" hidden="1">
      <c r="A145" s="34"/>
      <c r="BA145" s="23" t="s">
        <v>78</v>
      </c>
    </row>
    <row r="146" ht="15.75" hidden="1">
      <c r="A146" s="1"/>
    </row>
    <row r="147" ht="15.75" hidden="1">
      <c r="A147" s="34"/>
    </row>
    <row r="148" ht="15.75" hidden="1">
      <c r="A148" s="1"/>
    </row>
    <row r="149" ht="15.75" hidden="1">
      <c r="A149" s="34"/>
    </row>
    <row r="150" ht="15.75" hidden="1">
      <c r="A150" s="1"/>
    </row>
    <row r="151" ht="15.75" hidden="1">
      <c r="A151" s="34"/>
    </row>
    <row r="152" ht="15.75" hidden="1">
      <c r="A152" s="1"/>
    </row>
    <row r="153" ht="15.75" hidden="1">
      <c r="A153" s="1"/>
    </row>
    <row r="154" ht="15.75" hidden="1">
      <c r="A154" s="1"/>
    </row>
    <row r="155" ht="15.75" hidden="1">
      <c r="A155" s="34"/>
    </row>
    <row r="156" ht="15.75" hidden="1">
      <c r="A156" s="1"/>
    </row>
    <row r="157" ht="15.75" hidden="1">
      <c r="A157" s="1"/>
    </row>
    <row r="158" ht="15.75" hidden="1">
      <c r="A158" s="1"/>
    </row>
    <row r="159" ht="15.75" hidden="1">
      <c r="A159" s="1"/>
    </row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16">
    <mergeCell ref="A2:C2"/>
    <mergeCell ref="H2:M2"/>
    <mergeCell ref="H3:M3"/>
    <mergeCell ref="BB125:BD125"/>
    <mergeCell ref="A71:E71"/>
    <mergeCell ref="A3:C3"/>
    <mergeCell ref="A4:C4"/>
    <mergeCell ref="A102:B102"/>
    <mergeCell ref="A5:C5"/>
    <mergeCell ref="BF125:BH125"/>
    <mergeCell ref="BJ125:BL125"/>
    <mergeCell ref="A55:E55"/>
    <mergeCell ref="A87:K89"/>
    <mergeCell ref="A96:C96"/>
    <mergeCell ref="A97:C97"/>
    <mergeCell ref="A99:B99"/>
  </mergeCells>
  <printOptions/>
  <pageMargins left="0.75" right="0" top="0" bottom="0" header="0.5" footer="0.5"/>
  <pageSetup fitToHeight="1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</cp:lastModifiedBy>
  <cp:lastPrinted>2005-05-16T13:12:16Z</cp:lastPrinted>
  <dcterms:created xsi:type="dcterms:W3CDTF">1997-11-24T14:11:41Z</dcterms:created>
  <dcterms:modified xsi:type="dcterms:W3CDTF">2008-12-04T01:16:39Z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1608423254</vt:i4>
  </property>
  <property fmtid="{D5CDD505-2E9C-101B-9397-08002B2CF9AE}" pid="3" name="_EmailSubject">
    <vt:lpwstr>Please put the correct lines back in when thru - please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